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05"/>
  <workbookPr/>
  <mc:AlternateContent xmlns:mc="http://schemas.openxmlformats.org/markup-compatibility/2006">
    <mc:Choice Requires="x15">
      <x15ac:absPath xmlns:x15ac="http://schemas.microsoft.com/office/spreadsheetml/2010/11/ac" url="https://wopi.dropbox.com/wopi/files/oid_8205558633101280512/WOPIServiceId_TP_DROPBOX_PLUS/WOPIUserId_-/"/>
    </mc:Choice>
  </mc:AlternateContent>
  <xr:revisionPtr revIDLastSave="1591" documentId="13_ncr:1_{352C6AE1-C004-45A1-9666-D0AC68C204E5}" xr6:coauthVersionLast="47" xr6:coauthVersionMax="47" xr10:uidLastSave="{CC31381A-B6C8-4314-8E4E-B715F01F25A7}"/>
  <bookViews>
    <workbookView xWindow="-108" yWindow="-108" windowWidth="23256" windowHeight="13896" tabRatio="859" activeTab="7" xr2:uid="{7F2BB5D2-9A83-4E08-969F-443140AF1963}"/>
  </bookViews>
  <sheets>
    <sheet name="Instructions" sheetId="16" r:id="rId1"/>
    <sheet name="Fund Summary" sheetId="1" r:id="rId2"/>
    <sheet name="Multifamily Rental" sheetId="3" r:id="rId3"/>
    <sheet name="Limited Equity Housing Coop" sheetId="4" r:id="rId4"/>
    <sheet name="MultiFam Shared Equity HO" sheetId="5" r:id="rId5"/>
    <sheet name="Single Fam Shared Equity HO" sheetId="11" r:id="rId6"/>
    <sheet name="Income Limits (Reference Tab)" sheetId="8" r:id="rId7"/>
    <sheet name="Raw Cost Data" sheetId="12" r:id="rId8"/>
    <sheet name="Cost Summary Table" sheetId="15" r:id="rId9"/>
    <sheet name="Visualizations" sheetId="18" state="hidden" r:id="rId10"/>
    <sheet name="Cost Pivot Table" sheetId="13" state="hidden" r:id="rId11"/>
  </sheets>
  <definedNames>
    <definedName name="_xlnm._FilterDatabase" localSheetId="7" hidden="1">'Raw Cost Data'!$A$1:$AZ$26</definedName>
    <definedName name="_xlnm._FilterDatabase" localSheetId="9" hidden="1">Visualizations!$B$59:$D$68</definedName>
    <definedName name="_xlcn.WorksheetConnection_RawCostDataA1AY271" hidden="1">'Raw Cost Data'!$AY$1:$BJ$26</definedName>
  </definedNames>
  <calcPr calcId="191028"/>
  <pivotCaches>
    <pivotCache cacheId="3169" r:id="rId12"/>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Range" name="Range" connection="WorksheetConnection_Raw Cost Data!$A$1:$AY$27"/>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5" i="15" l="1"/>
  <c r="D105" i="15"/>
  <c r="E105" i="15"/>
  <c r="F105" i="15"/>
  <c r="G105" i="15"/>
  <c r="H105" i="15"/>
  <c r="I105" i="15"/>
  <c r="J105" i="15"/>
  <c r="B105" i="15"/>
  <c r="C104" i="15"/>
  <c r="D104" i="15"/>
  <c r="E104" i="15"/>
  <c r="F104" i="15"/>
  <c r="G104" i="15"/>
  <c r="H104" i="15"/>
  <c r="I104" i="15"/>
  <c r="J104" i="15"/>
  <c r="B104" i="15"/>
  <c r="M28" i="15" a="1"/>
  <c r="M28" i="15"/>
  <c r="M27" i="15" a="1"/>
  <c r="M27" i="15"/>
  <c r="M26" i="15" a="1"/>
  <c r="M26" i="15"/>
  <c r="B94" i="15"/>
  <c r="C94" i="15"/>
  <c r="D94" i="15"/>
  <c r="E94" i="15"/>
  <c r="F94" i="15"/>
  <c r="G94" i="15"/>
  <c r="H94" i="15"/>
  <c r="I94" i="15"/>
  <c r="J94" i="15"/>
  <c r="B95" i="15"/>
  <c r="C95" i="15"/>
  <c r="D95" i="15"/>
  <c r="E95" i="15"/>
  <c r="F95" i="15"/>
  <c r="G95" i="15"/>
  <c r="H95" i="15"/>
  <c r="I95" i="15"/>
  <c r="J95" i="15"/>
  <c r="B96" i="15"/>
  <c r="C96" i="15"/>
  <c r="D96" i="15"/>
  <c r="E96" i="15"/>
  <c r="F96" i="15"/>
  <c r="G96" i="15"/>
  <c r="H96" i="15"/>
  <c r="I96" i="15"/>
  <c r="J96" i="15"/>
  <c r="B97" i="15"/>
  <c r="C97" i="15"/>
  <c r="D97" i="15"/>
  <c r="E97" i="15"/>
  <c r="F97" i="15"/>
  <c r="G97" i="15"/>
  <c r="H97" i="15"/>
  <c r="I97" i="15"/>
  <c r="J97" i="15"/>
  <c r="B98" i="15"/>
  <c r="C98" i="15"/>
  <c r="D98" i="15"/>
  <c r="E98" i="15"/>
  <c r="F98" i="15"/>
  <c r="G98" i="15"/>
  <c r="H98" i="15"/>
  <c r="I98" i="15"/>
  <c r="J98" i="15"/>
  <c r="B99" i="15"/>
  <c r="C99" i="15"/>
  <c r="D99" i="15"/>
  <c r="E99" i="15"/>
  <c r="F99" i="15"/>
  <c r="G99" i="15"/>
  <c r="H99" i="15"/>
  <c r="I99" i="15"/>
  <c r="J99" i="15"/>
  <c r="B100" i="15"/>
  <c r="C100" i="15"/>
  <c r="D100" i="15"/>
  <c r="E100" i="15"/>
  <c r="F100" i="15"/>
  <c r="G100" i="15"/>
  <c r="H100" i="15"/>
  <c r="I100" i="15"/>
  <c r="J100" i="15"/>
  <c r="B101" i="15"/>
  <c r="C101" i="15"/>
  <c r="D101" i="15"/>
  <c r="E101" i="15"/>
  <c r="F101" i="15"/>
  <c r="G101" i="15"/>
  <c r="H101" i="15"/>
  <c r="I101" i="15"/>
  <c r="J101" i="15"/>
  <c r="B102" i="15"/>
  <c r="C102" i="15"/>
  <c r="D102" i="15"/>
  <c r="E102" i="15"/>
  <c r="F102" i="15"/>
  <c r="G102" i="15"/>
  <c r="H102" i="15"/>
  <c r="I102" i="15"/>
  <c r="J102" i="15"/>
  <c r="B103" i="15"/>
  <c r="C103" i="15"/>
  <c r="D103" i="15"/>
  <c r="E103" i="15"/>
  <c r="F103" i="15"/>
  <c r="G103" i="15"/>
  <c r="H103" i="15"/>
  <c r="I103" i="15"/>
  <c r="J103" i="15"/>
  <c r="B51" i="15"/>
  <c r="C51" i="15"/>
  <c r="D51" i="15"/>
  <c r="E51" i="15"/>
  <c r="F51" i="15"/>
  <c r="G51" i="15"/>
  <c r="H51" i="15"/>
  <c r="I51" i="15"/>
  <c r="B52" i="15"/>
  <c r="C52" i="15"/>
  <c r="D52" i="15"/>
  <c r="E52" i="15"/>
  <c r="F52" i="15"/>
  <c r="G52" i="15"/>
  <c r="H52" i="15"/>
  <c r="I52" i="15"/>
  <c r="B53" i="15"/>
  <c r="C53" i="15"/>
  <c r="D53" i="15"/>
  <c r="E53" i="15"/>
  <c r="F53" i="15"/>
  <c r="G53" i="15"/>
  <c r="H53" i="15"/>
  <c r="I53" i="15"/>
  <c r="B54" i="15"/>
  <c r="C54" i="15"/>
  <c r="D54" i="15"/>
  <c r="E54" i="15"/>
  <c r="F54" i="15"/>
  <c r="G54" i="15"/>
  <c r="H54" i="15"/>
  <c r="I54" i="15"/>
  <c r="B55" i="15"/>
  <c r="C55" i="15"/>
  <c r="D55" i="15"/>
  <c r="E55" i="15"/>
  <c r="F55" i="15"/>
  <c r="G55" i="15"/>
  <c r="H55" i="15"/>
  <c r="I55" i="15"/>
  <c r="B56" i="15"/>
  <c r="C56" i="15"/>
  <c r="D56" i="15"/>
  <c r="E56" i="15"/>
  <c r="F56" i="15"/>
  <c r="G56" i="15"/>
  <c r="H56" i="15"/>
  <c r="I56" i="15"/>
  <c r="B57" i="15"/>
  <c r="C57" i="15"/>
  <c r="D57" i="15"/>
  <c r="E57" i="15"/>
  <c r="F57" i="15"/>
  <c r="G57" i="15"/>
  <c r="H57" i="15"/>
  <c r="I57" i="15"/>
  <c r="B59" i="15"/>
  <c r="C59" i="15"/>
  <c r="D59" i="15"/>
  <c r="E59" i="15"/>
  <c r="F59" i="15"/>
  <c r="G59" i="15"/>
  <c r="H59" i="15"/>
  <c r="I59" i="15"/>
  <c r="B60" i="15"/>
  <c r="C60" i="15"/>
  <c r="D60" i="15"/>
  <c r="E60" i="15"/>
  <c r="F60" i="15"/>
  <c r="G60" i="15"/>
  <c r="H60" i="15"/>
  <c r="I60" i="15"/>
  <c r="AE20" i="15" a="1"/>
  <c r="AE20" i="15" s="1"/>
  <c r="AD20" i="15" a="1"/>
  <c r="AD20" i="15" s="1"/>
  <c r="AC20" i="15" a="1"/>
  <c r="AC20" i="15" s="1"/>
  <c r="AB20" i="15" a="1"/>
  <c r="AB20" i="15" s="1"/>
  <c r="AA20" i="15" a="1"/>
  <c r="AA20" i="15" s="1"/>
  <c r="AD19" i="15" a="1"/>
  <c r="AD19" i="15" s="1"/>
  <c r="AC19" i="15" a="1"/>
  <c r="AC19" i="15" s="1"/>
  <c r="AB19" i="15" a="1"/>
  <c r="AB19" i="15" s="1"/>
  <c r="AA19" i="15" a="1"/>
  <c r="AA19" i="15" s="1"/>
  <c r="AE18" i="15" a="1"/>
  <c r="AE18" i="15" s="1"/>
  <c r="AD18" i="15" a="1"/>
  <c r="AD18" i="15" s="1"/>
  <c r="AC18" i="15" a="1"/>
  <c r="AC18" i="15" s="1"/>
  <c r="AB18" i="15" a="1"/>
  <c r="AB18" i="15" s="1"/>
  <c r="AA18" i="15" a="1"/>
  <c r="AA18" i="15" s="1"/>
  <c r="Z20" i="15"/>
  <c r="Z19" i="15"/>
  <c r="Z18" i="15"/>
  <c r="AE14" i="15" a="1"/>
  <c r="AE14" i="15" s="1"/>
  <c r="AD14" i="15" a="1"/>
  <c r="AD14" i="15" s="1"/>
  <c r="AC14" i="15" a="1"/>
  <c r="AC14" i="15" s="1"/>
  <c r="AB14" i="15" a="1"/>
  <c r="AB14" i="15" s="1"/>
  <c r="AA14" i="15" a="1"/>
  <c r="AA14" i="15" s="1"/>
  <c r="AE13" i="15" a="1"/>
  <c r="AE13" i="15" s="1"/>
  <c r="AD13" i="15" a="1"/>
  <c r="AD13" i="15" s="1"/>
  <c r="AC13" i="15" a="1"/>
  <c r="AC13" i="15" s="1"/>
  <c r="AB13" i="15" a="1"/>
  <c r="AB13" i="15" s="1"/>
  <c r="AA13" i="15" a="1"/>
  <c r="AA13" i="15" s="1"/>
  <c r="AD12" i="15" a="1"/>
  <c r="AD12" i="15" s="1"/>
  <c r="AC12" i="15" a="1"/>
  <c r="AC12" i="15" s="1"/>
  <c r="AB12" i="15" a="1"/>
  <c r="AB12" i="15" s="1"/>
  <c r="AA12" i="15" a="1"/>
  <c r="AA12" i="15" s="1"/>
  <c r="Z14" i="15"/>
  <c r="Z13" i="15"/>
  <c r="Z12" i="15"/>
  <c r="AD8" i="15"/>
  <c r="AC8" i="15"/>
  <c r="AB8" i="15"/>
  <c r="AA8" i="15"/>
  <c r="AD7" i="15" a="1"/>
  <c r="AD7" i="15" s="1"/>
  <c r="AC7" i="15" a="1"/>
  <c r="AC7" i="15" s="1"/>
  <c r="AB7" i="15" a="1"/>
  <c r="AB7" i="15" s="1"/>
  <c r="AA7" i="15" a="1"/>
  <c r="AA7" i="15" s="1"/>
  <c r="AE6" i="15" a="1"/>
  <c r="AE6" i="15" s="1"/>
  <c r="AD6" i="15" a="1"/>
  <c r="AD6" i="15" s="1"/>
  <c r="AC6" i="15" a="1"/>
  <c r="AC6" i="15" s="1"/>
  <c r="AB6" i="15" a="1"/>
  <c r="AB6" i="15" s="1"/>
  <c r="AA6" i="15" a="1"/>
  <c r="AA6" i="15" s="1"/>
  <c r="AE5" i="15" a="1"/>
  <c r="AE5" i="15" s="1"/>
  <c r="AD5" i="15" a="1"/>
  <c r="AD5" i="15" s="1"/>
  <c r="AC5" i="15" a="1"/>
  <c r="AC5" i="15" s="1"/>
  <c r="AB5" i="15" a="1"/>
  <c r="AB5" i="15" s="1"/>
  <c r="AA5" i="15" a="1"/>
  <c r="AA5" i="15" s="1"/>
  <c r="AE4" i="15" a="1"/>
  <c r="AE4" i="15" s="1"/>
  <c r="AD4" i="15" a="1"/>
  <c r="AD4" i="15" s="1"/>
  <c r="AC4" i="15" a="1"/>
  <c r="AC4" i="15" s="1"/>
  <c r="AB4" i="15" a="1"/>
  <c r="AB4" i="15" s="1"/>
  <c r="AA4" i="15" a="1"/>
  <c r="AA4" i="15" s="1"/>
  <c r="Z7" i="15"/>
  <c r="Z6" i="15"/>
  <c r="Z5" i="15"/>
  <c r="Z4" i="15"/>
  <c r="W20" i="15" a="1"/>
  <c r="W20" i="15" s="1"/>
  <c r="V20" i="15" a="1"/>
  <c r="V20" i="15" s="1"/>
  <c r="U20" i="15" a="1"/>
  <c r="U20" i="15" s="1"/>
  <c r="T20" i="15" a="1"/>
  <c r="T20" i="15" s="1"/>
  <c r="S20" i="15" a="1"/>
  <c r="S20" i="15" s="1"/>
  <c r="V19" i="15" a="1"/>
  <c r="V19" i="15" s="1"/>
  <c r="U19" i="15" a="1"/>
  <c r="U19" i="15" s="1"/>
  <c r="T19" i="15" a="1"/>
  <c r="T19" i="15" s="1"/>
  <c r="S19" i="15" a="1"/>
  <c r="S19" i="15" s="1"/>
  <c r="W18" i="15" a="1"/>
  <c r="W18" i="15" s="1"/>
  <c r="V18" i="15" a="1"/>
  <c r="V18" i="15" s="1"/>
  <c r="U18" i="15" a="1"/>
  <c r="U18" i="15" s="1"/>
  <c r="T18" i="15" a="1"/>
  <c r="T18" i="15" s="1"/>
  <c r="S18" i="15" a="1"/>
  <c r="S18" i="15" s="1"/>
  <c r="R20" i="15"/>
  <c r="R19" i="15"/>
  <c r="R18" i="15"/>
  <c r="W14" i="15" a="1"/>
  <c r="W14" i="15" s="1"/>
  <c r="V14" i="15" a="1"/>
  <c r="V14" i="15" s="1"/>
  <c r="U14" i="15" a="1"/>
  <c r="U14" i="15" s="1"/>
  <c r="T14" i="15" a="1"/>
  <c r="T14" i="15" s="1"/>
  <c r="S14" i="15" a="1"/>
  <c r="S14" i="15" s="1"/>
  <c r="W13" i="15" a="1"/>
  <c r="W13" i="15" s="1"/>
  <c r="V13" i="15" a="1"/>
  <c r="V13" i="15" s="1"/>
  <c r="U13" i="15" a="1"/>
  <c r="U13" i="15" s="1"/>
  <c r="T13" i="15" a="1"/>
  <c r="T13" i="15" s="1"/>
  <c r="S13" i="15" a="1"/>
  <c r="S13" i="15" s="1"/>
  <c r="V12" i="15" a="1"/>
  <c r="V12" i="15" s="1"/>
  <c r="U12" i="15" a="1"/>
  <c r="U12" i="15" s="1"/>
  <c r="T12" i="15" a="1"/>
  <c r="T12" i="15" s="1"/>
  <c r="S12" i="15" a="1"/>
  <c r="S12" i="15" s="1"/>
  <c r="V8" i="15"/>
  <c r="U8" i="15"/>
  <c r="T8" i="15"/>
  <c r="S8" i="15"/>
  <c r="V7" i="15" a="1"/>
  <c r="V7" i="15" s="1"/>
  <c r="U7" i="15" a="1"/>
  <c r="U7" i="15" s="1"/>
  <c r="T7" i="15" a="1"/>
  <c r="T7" i="15" s="1"/>
  <c r="S7" i="15" a="1"/>
  <c r="S7" i="15" s="1"/>
  <c r="R7" i="15"/>
  <c r="W6" i="15" a="1"/>
  <c r="W6" i="15" s="1"/>
  <c r="V6" i="15" a="1"/>
  <c r="V6" i="15" s="1"/>
  <c r="U6" i="15" a="1"/>
  <c r="U6" i="15" s="1"/>
  <c r="T6" i="15" a="1"/>
  <c r="T6" i="15" s="1"/>
  <c r="S6" i="15" a="1"/>
  <c r="S6" i="15" s="1"/>
  <c r="R6" i="15"/>
  <c r="W5" i="15" a="1"/>
  <c r="W5" i="15" s="1"/>
  <c r="V5" i="15" a="1"/>
  <c r="V5" i="15" s="1"/>
  <c r="U5" i="15" a="1"/>
  <c r="U5" i="15" s="1"/>
  <c r="T5" i="15" a="1"/>
  <c r="T5" i="15" s="1"/>
  <c r="S5" i="15" a="1"/>
  <c r="S5" i="15" s="1"/>
  <c r="R5" i="15"/>
  <c r="W4" i="15" a="1"/>
  <c r="W4" i="15" s="1"/>
  <c r="V4" i="15" a="1"/>
  <c r="V4" i="15" s="1"/>
  <c r="U4" i="15" a="1"/>
  <c r="U4" i="15" s="1"/>
  <c r="T4" i="15" a="1"/>
  <c r="T4" i="15" s="1"/>
  <c r="S4" i="15" a="1"/>
  <c r="S4" i="15" s="1"/>
  <c r="R4" i="15"/>
  <c r="N8" i="15"/>
  <c r="M8" i="15"/>
  <c r="L8" i="15"/>
  <c r="K8" i="15"/>
  <c r="N7" i="15" a="1"/>
  <c r="N7" i="15" s="1"/>
  <c r="M7" i="15" a="1"/>
  <c r="M7" i="15" s="1"/>
  <c r="L7" i="15" a="1"/>
  <c r="L7" i="15" s="1"/>
  <c r="K7" i="15" a="1"/>
  <c r="K7" i="15" s="1"/>
  <c r="J7" i="15"/>
  <c r="O6" i="15" a="1"/>
  <c r="O6" i="15" s="1"/>
  <c r="N6" i="15" a="1"/>
  <c r="N6" i="15" s="1"/>
  <c r="M6" i="15" a="1"/>
  <c r="M6" i="15" s="1"/>
  <c r="L6" i="15" a="1"/>
  <c r="L6" i="15" s="1"/>
  <c r="K6" i="15" a="1"/>
  <c r="K6" i="15" s="1"/>
  <c r="J6" i="15"/>
  <c r="O5" i="15" a="1"/>
  <c r="O5" i="15" s="1"/>
  <c r="N5" i="15" a="1"/>
  <c r="N5" i="15" s="1"/>
  <c r="M5" i="15" a="1"/>
  <c r="M5" i="15" s="1"/>
  <c r="L5" i="15" a="1"/>
  <c r="L5" i="15" s="1"/>
  <c r="K5" i="15" a="1"/>
  <c r="K5" i="15" s="1"/>
  <c r="J5" i="15"/>
  <c r="O4" i="15" a="1"/>
  <c r="O4" i="15" s="1"/>
  <c r="N4" i="15" a="1"/>
  <c r="N4" i="15" s="1"/>
  <c r="M4" i="15" a="1"/>
  <c r="M4" i="15" s="1"/>
  <c r="L4" i="15" a="1"/>
  <c r="L4" i="15" s="1"/>
  <c r="K4" i="15" a="1"/>
  <c r="K4" i="15" s="1"/>
  <c r="J4" i="15"/>
  <c r="J20" i="15"/>
  <c r="J19" i="15"/>
  <c r="J18" i="15"/>
  <c r="O20" i="15" a="1"/>
  <c r="O20" i="15" s="1"/>
  <c r="N20" i="15" a="1"/>
  <c r="N20" i="15" s="1"/>
  <c r="M20" i="15" a="1"/>
  <c r="M20" i="15" s="1"/>
  <c r="L20" i="15" a="1"/>
  <c r="L20" i="15" s="1"/>
  <c r="K20" i="15" a="1"/>
  <c r="K20" i="15" s="1"/>
  <c r="N19" i="15" a="1"/>
  <c r="N19" i="15" s="1"/>
  <c r="M19" i="15" a="1"/>
  <c r="M19" i="15" s="1"/>
  <c r="L19" i="15" a="1"/>
  <c r="L19" i="15" s="1"/>
  <c r="K19" i="15" a="1"/>
  <c r="K19" i="15" s="1"/>
  <c r="O18" i="15" a="1"/>
  <c r="O18" i="15" s="1"/>
  <c r="N18" i="15" a="1"/>
  <c r="N18" i="15" s="1"/>
  <c r="M18" i="15" a="1"/>
  <c r="M18" i="15" s="1"/>
  <c r="L18" i="15" a="1"/>
  <c r="L18" i="15" s="1"/>
  <c r="K18" i="15" a="1"/>
  <c r="K18" i="15" s="1"/>
  <c r="O14" i="15" a="1"/>
  <c r="O14" i="15" s="1"/>
  <c r="N14" i="15" a="1"/>
  <c r="N14" i="15" s="1"/>
  <c r="M14" i="15" a="1"/>
  <c r="M14" i="15" s="1"/>
  <c r="L14" i="15" a="1"/>
  <c r="L14" i="15" s="1"/>
  <c r="K14" i="15" a="1"/>
  <c r="K14" i="15" s="1"/>
  <c r="O13" i="15" a="1"/>
  <c r="O13" i="15" s="1"/>
  <c r="N13" i="15" a="1"/>
  <c r="N13" i="15" s="1"/>
  <c r="M13" i="15" a="1"/>
  <c r="M13" i="15" s="1"/>
  <c r="L13" i="15" a="1"/>
  <c r="L13" i="15" s="1"/>
  <c r="K13" i="15" a="1"/>
  <c r="K13" i="15" s="1"/>
  <c r="N12" i="15" a="1"/>
  <c r="N12" i="15" s="1"/>
  <c r="M12" i="15" a="1"/>
  <c r="M12" i="15" s="1"/>
  <c r="L12" i="15" a="1"/>
  <c r="L12" i="15" s="1"/>
  <c r="K12" i="15" a="1"/>
  <c r="K12" i="15" s="1"/>
  <c r="J14" i="15"/>
  <c r="J13" i="15"/>
  <c r="J12" i="15"/>
  <c r="J28" i="12" a="1"/>
  <c r="J28" i="12" s="1"/>
  <c r="J29" i="12" a="1"/>
  <c r="J29" i="12"/>
  <c r="J30" i="12" a="1"/>
  <c r="J30" i="12" s="1"/>
  <c r="J31" i="12" a="1"/>
  <c r="J31" i="12" s="1"/>
  <c r="J32" i="12" a="1"/>
  <c r="J32" i="12" s="1"/>
  <c r="J33" i="12" a="1"/>
  <c r="J33" i="12"/>
  <c r="J34" i="12" a="1"/>
  <c r="J34" i="12" s="1"/>
  <c r="J35" i="12" a="1"/>
  <c r="J35" i="12"/>
  <c r="J36" i="12" a="1"/>
  <c r="J36" i="12" s="1"/>
  <c r="J37" i="12" a="1"/>
  <c r="J37" i="12" s="1"/>
  <c r="B20" i="15"/>
  <c r="B19" i="15"/>
  <c r="B18" i="15"/>
  <c r="F8" i="15"/>
  <c r="E8" i="15"/>
  <c r="D8" i="15"/>
  <c r="C8" i="15"/>
  <c r="F7" i="15" a="1"/>
  <c r="F7" i="15" s="1"/>
  <c r="E7" i="15" a="1"/>
  <c r="E7" i="15" s="1"/>
  <c r="D7" i="15" a="1"/>
  <c r="D7" i="15" s="1"/>
  <c r="C7" i="15" a="1"/>
  <c r="C7" i="15" s="1"/>
  <c r="G6" i="15" a="1"/>
  <c r="G6" i="15" s="1"/>
  <c r="F6" i="15" a="1"/>
  <c r="F6" i="15" s="1"/>
  <c r="E6" i="15" a="1"/>
  <c r="E6" i="15" s="1"/>
  <c r="D6" i="15" a="1"/>
  <c r="D6" i="15" s="1"/>
  <c r="C6" i="15" a="1"/>
  <c r="C6" i="15" s="1"/>
  <c r="G5" i="15" a="1"/>
  <c r="G5" i="15" s="1"/>
  <c r="F5" i="15" a="1"/>
  <c r="F5" i="15" s="1"/>
  <c r="E5" i="15" a="1"/>
  <c r="E5" i="15" s="1"/>
  <c r="D5" i="15" a="1"/>
  <c r="D5" i="15" s="1"/>
  <c r="C5" i="15" a="1"/>
  <c r="C5" i="15" s="1"/>
  <c r="G4" i="15" a="1"/>
  <c r="G4" i="15" s="1"/>
  <c r="F4" i="15" a="1"/>
  <c r="F4" i="15" s="1"/>
  <c r="E4" i="15" a="1"/>
  <c r="E4" i="15" s="1"/>
  <c r="D4" i="15" a="1"/>
  <c r="D4" i="15" s="1"/>
  <c r="C4" i="15" a="1"/>
  <c r="C4" i="15" s="1"/>
  <c r="J92" i="15"/>
  <c r="I92" i="15"/>
  <c r="H92" i="15"/>
  <c r="G92" i="15"/>
  <c r="F92" i="15"/>
  <c r="E92" i="15"/>
  <c r="D92" i="15"/>
  <c r="C92" i="15"/>
  <c r="B92" i="15"/>
  <c r="I49" i="15"/>
  <c r="H49" i="15"/>
  <c r="G49" i="15"/>
  <c r="F49" i="15"/>
  <c r="E49" i="15"/>
  <c r="D49" i="15"/>
  <c r="C49" i="15"/>
  <c r="B49" i="15"/>
  <c r="B7" i="15"/>
  <c r="B6" i="15"/>
  <c r="B5" i="15"/>
  <c r="B4" i="15"/>
  <c r="BC37" i="12"/>
  <c r="AZ37" i="12"/>
  <c r="AY37" i="12"/>
  <c r="AC37" i="12"/>
  <c r="BB37" i="12" s="1"/>
  <c r="T37" i="12"/>
  <c r="BA37" i="12" s="1"/>
  <c r="BC36" i="12"/>
  <c r="AZ36" i="12"/>
  <c r="AY36" i="12"/>
  <c r="AD36" i="12"/>
  <c r="S36" i="12"/>
  <c r="AC36" i="12" s="1"/>
  <c r="BB36" i="12" s="1"/>
  <c r="R36" i="12"/>
  <c r="L36" i="12"/>
  <c r="T36" i="12" s="1"/>
  <c r="BA36" i="12" s="1"/>
  <c r="BH35" i="12"/>
  <c r="BC35" i="12"/>
  <c r="AZ35" i="12"/>
  <c r="AY35" i="12"/>
  <c r="AN35" i="12"/>
  <c r="AB35" i="12" s="1"/>
  <c r="S35" i="12"/>
  <c r="R35" i="12"/>
  <c r="O35" i="12"/>
  <c r="L35" i="12"/>
  <c r="T35" i="12" s="1"/>
  <c r="BA35" i="12" s="1"/>
  <c r="BC34" i="12"/>
  <c r="AZ34" i="12"/>
  <c r="AY34" i="12"/>
  <c r="AN34" i="12"/>
  <c r="R34" i="12"/>
  <c r="L34" i="12"/>
  <c r="AC34" i="12" s="1"/>
  <c r="BB34" i="12" s="1"/>
  <c r="BC33" i="12"/>
  <c r="AZ33" i="12"/>
  <c r="AY33" i="12"/>
  <c r="AN33" i="12"/>
  <c r="T33" i="12"/>
  <c r="BA33" i="12" s="1"/>
  <c r="S33" i="12"/>
  <c r="R33" i="12"/>
  <c r="O33" i="12"/>
  <c r="L33" i="12"/>
  <c r="BC32" i="12"/>
  <c r="AZ32" i="12"/>
  <c r="AY32" i="12"/>
  <c r="AN32" i="12"/>
  <c r="BC31" i="12"/>
  <c r="AZ31" i="12"/>
  <c r="AY31" i="12"/>
  <c r="AN31" i="12"/>
  <c r="BC30" i="12"/>
  <c r="BB30" i="12"/>
  <c r="AZ30" i="12"/>
  <c r="AY30" i="12"/>
  <c r="AN30" i="12"/>
  <c r="AB30" i="12"/>
  <c r="R30" i="12"/>
  <c r="L30" i="12"/>
  <c r="BB29" i="12"/>
  <c r="AZ29" i="12"/>
  <c r="AN29" i="12"/>
  <c r="AC29" i="12"/>
  <c r="S29" i="12"/>
  <c r="R29" i="12"/>
  <c r="O29" i="12"/>
  <c r="L29" i="12"/>
  <c r="T29" i="12" s="1"/>
  <c r="AZ28" i="12"/>
  <c r="AN28" i="12"/>
  <c r="AB28" i="12"/>
  <c r="AC28" i="12" s="1"/>
  <c r="T28" i="12"/>
  <c r="BA28" i="12" s="1"/>
  <c r="O86" i="4"/>
  <c r="S74" i="3"/>
  <c r="S73" i="3"/>
  <c r="S69" i="3"/>
  <c r="S68" i="3"/>
  <c r="O107" i="3"/>
  <c r="B13" i="15" l="1"/>
  <c r="C13" i="15" a="1"/>
  <c r="C13" i="15" s="1"/>
  <c r="B12" i="15"/>
  <c r="E12" i="15" a="1"/>
  <c r="E12" i="15" s="1"/>
  <c r="D14" i="15" a="1"/>
  <c r="D14" i="15" s="1"/>
  <c r="D13" i="15" a="1"/>
  <c r="D13" i="15" s="1"/>
  <c r="G14" i="15" a="1"/>
  <c r="G14" i="15" s="1"/>
  <c r="F12" i="15" a="1"/>
  <c r="F12" i="15" s="1"/>
  <c r="F14" i="15" a="1"/>
  <c r="F14" i="15" s="1"/>
  <c r="D12" i="15" a="1"/>
  <c r="D12" i="15" s="1"/>
  <c r="G13" i="15" a="1"/>
  <c r="G13" i="15" s="1"/>
  <c r="E14" i="15" a="1"/>
  <c r="E14" i="15" s="1"/>
  <c r="C12" i="15" a="1"/>
  <c r="C12" i="15" s="1"/>
  <c r="F13" i="15" a="1"/>
  <c r="F13" i="15" s="1"/>
  <c r="C14" i="15" a="1"/>
  <c r="C14" i="15" s="1"/>
  <c r="E13" i="15" a="1"/>
  <c r="E13" i="15" s="1"/>
  <c r="B14" i="15"/>
  <c r="AD29" i="12"/>
  <c r="BA29" i="12"/>
  <c r="BK29" i="12"/>
  <c r="BB28" i="12"/>
  <c r="AD28" i="12"/>
  <c r="AC33" i="12"/>
  <c r="BB33" i="12" s="1"/>
  <c r="T34" i="12"/>
  <c r="BA34" i="12" s="1"/>
  <c r="X88" i="4"/>
  <c r="AN63" i="4"/>
  <c r="S52" i="4"/>
  <c r="S54" i="4"/>
  <c r="X28" i="4"/>
  <c r="X27" i="4"/>
  <c r="S78" i="4"/>
  <c r="S79" i="4"/>
  <c r="S74" i="4"/>
  <c r="S73" i="4"/>
  <c r="S48" i="3"/>
  <c r="B22" i="3"/>
  <c r="X93" i="3" s="1"/>
  <c r="AY28" i="12" l="1"/>
  <c r="BC28" i="12"/>
  <c r="AY29" i="12"/>
  <c r="BC29" i="12"/>
  <c r="C42" i="4"/>
  <c r="Z28" i="4"/>
  <c r="Z27" i="4"/>
  <c r="C41" i="4"/>
  <c r="AN67" i="3"/>
  <c r="X27" i="3"/>
  <c r="X26" i="3"/>
  <c r="C44" i="3" l="1"/>
  <c r="C43" i="3"/>
  <c r="Z26" i="3"/>
  <c r="X51" i="3" l="1"/>
  <c r="X48" i="3"/>
  <c r="X45" i="3"/>
  <c r="B24" i="3"/>
  <c r="X105" i="3" s="1"/>
  <c r="B23" i="3"/>
  <c r="X99" i="3" s="1"/>
  <c r="M83" i="3"/>
  <c r="M82" i="3"/>
  <c r="M81" i="3"/>
  <c r="M79" i="3"/>
  <c r="M78" i="3"/>
  <c r="M67" i="3"/>
  <c r="M66" i="3"/>
  <c r="M65" i="3"/>
  <c r="M63" i="3"/>
  <c r="M62" i="3"/>
  <c r="G19" i="3"/>
  <c r="G15" i="3"/>
  <c r="AD5" i="12"/>
  <c r="AB4" i="12"/>
  <c r="G93" i="15"/>
  <c r="H93" i="15"/>
  <c r="I93" i="15"/>
  <c r="B50" i="15"/>
  <c r="C50" i="15"/>
  <c r="D50" i="15"/>
  <c r="E50" i="15"/>
  <c r="F50" i="15"/>
  <c r="G50" i="15"/>
  <c r="H50" i="15"/>
  <c r="I50" i="15"/>
  <c r="AZ27" i="12" l="1"/>
  <c r="J27" i="12" a="1"/>
  <c r="J27" i="12" s="1"/>
  <c r="AX27" i="12"/>
  <c r="AN27" i="12"/>
  <c r="S27" i="12"/>
  <c r="R27" i="12"/>
  <c r="O27" i="12"/>
  <c r="L27" i="12"/>
  <c r="T27" i="12" s="1"/>
  <c r="BA27" i="12" s="1"/>
  <c r="C93" i="15" l="1"/>
  <c r="F93" i="15"/>
  <c r="J93" i="15"/>
  <c r="E93" i="15"/>
  <c r="D93" i="15"/>
  <c r="B93" i="15"/>
  <c r="BD27" i="12"/>
  <c r="Z8" i="15"/>
  <c r="R8" i="15"/>
  <c r="J8" i="15"/>
  <c r="B8" i="15"/>
  <c r="I85" i="15"/>
  <c r="AX19" i="12"/>
  <c r="AC2" i="12"/>
  <c r="AC3" i="12"/>
  <c r="AC4" i="12"/>
  <c r="AC5" i="12"/>
  <c r="AC6" i="12"/>
  <c r="AC7" i="12"/>
  <c r="AC8" i="12"/>
  <c r="AC9" i="12"/>
  <c r="AC10" i="12"/>
  <c r="AC11" i="12"/>
  <c r="AC12" i="12"/>
  <c r="AC13" i="12"/>
  <c r="AC14" i="12"/>
  <c r="AC15" i="12"/>
  <c r="AC16" i="12"/>
  <c r="AC17" i="12"/>
  <c r="AC18" i="12"/>
  <c r="AC19" i="12"/>
  <c r="AC20" i="12"/>
  <c r="AC21" i="12"/>
  <c r="AC24" i="12"/>
  <c r="AC25" i="12"/>
  <c r="AC26" i="12"/>
  <c r="AV15" i="12"/>
  <c r="AW15" i="12"/>
  <c r="AR15" i="12"/>
  <c r="AB23" i="12"/>
  <c r="AC23" i="12" s="1"/>
  <c r="AM20" i="12"/>
  <c r="BF22" i="12"/>
  <c r="AC22" i="12" s="1"/>
  <c r="AK8" i="12"/>
  <c r="AV8" i="12"/>
  <c r="AW9" i="12"/>
  <c r="AP8" i="12"/>
  <c r="S11" i="12"/>
  <c r="S10" i="12"/>
  <c r="L9" i="12"/>
  <c r="R9" i="12"/>
  <c r="W19" i="15" l="1" a="1"/>
  <c r="W19" i="15" s="1"/>
  <c r="O7" i="15" a="1"/>
  <c r="O7" i="15" s="1"/>
  <c r="O19" i="15" a="1"/>
  <c r="O19" i="15" s="1"/>
  <c r="AE8" i="15"/>
  <c r="G7" i="15" a="1"/>
  <c r="G7" i="15" s="1"/>
  <c r="W12" i="15" a="1"/>
  <c r="W12" i="15" s="1"/>
  <c r="W8" i="15"/>
  <c r="O12" i="15" a="1"/>
  <c r="O12" i="15" s="1"/>
  <c r="AE12" i="15" a="1"/>
  <c r="AE12" i="15" s="1"/>
  <c r="W7" i="15" a="1"/>
  <c r="W7" i="15" s="1"/>
  <c r="G8" i="15"/>
  <c r="AE19" i="15" a="1"/>
  <c r="AE19" i="15" s="1"/>
  <c r="AE7" i="15" a="1"/>
  <c r="AE7" i="15" s="1"/>
  <c r="O8" i="15"/>
  <c r="G12" i="15" a="1"/>
  <c r="G12" i="15" s="1"/>
  <c r="B10" i="1" a="1"/>
  <c r="B10" i="1" s="1"/>
  <c r="D73" i="11"/>
  <c r="I84" i="11" l="1"/>
  <c r="M78" i="11"/>
  <c r="C27" i="11" s="1"/>
  <c r="M74" i="11"/>
  <c r="C26" i="11" s="1"/>
  <c r="M71" i="11"/>
  <c r="C25" i="11" s="1"/>
  <c r="M67" i="11"/>
  <c r="C24" i="11" s="1"/>
  <c r="M63" i="11"/>
  <c r="M62" i="11"/>
  <c r="M61" i="11"/>
  <c r="M55" i="11"/>
  <c r="M54" i="11"/>
  <c r="M53" i="11"/>
  <c r="M52" i="11"/>
  <c r="C22" i="11" s="1"/>
  <c r="M48" i="11"/>
  <c r="M47" i="11"/>
  <c r="M46" i="11"/>
  <c r="M45" i="11"/>
  <c r="I45" i="11"/>
  <c r="C14" i="11" s="1"/>
  <c r="J38" i="11"/>
  <c r="I38" i="11"/>
  <c r="H38" i="11"/>
  <c r="G37" i="11"/>
  <c r="G36" i="11"/>
  <c r="N35" i="11"/>
  <c r="G35" i="11"/>
  <c r="AV23" i="11" s="1"/>
  <c r="AX33" i="11"/>
  <c r="AX34" i="11" s="1"/>
  <c r="N34" i="11"/>
  <c r="N36" i="11" s="1"/>
  <c r="G34" i="11"/>
  <c r="N33" i="11"/>
  <c r="N37" i="11" s="1"/>
  <c r="G33" i="11"/>
  <c r="G32" i="11"/>
  <c r="AS18" i="11" s="1"/>
  <c r="G31" i="11"/>
  <c r="AR11" i="11" s="1"/>
  <c r="N30" i="11"/>
  <c r="G30" i="11"/>
  <c r="G29" i="11"/>
  <c r="N28" i="11"/>
  <c r="G28" i="11"/>
  <c r="N27" i="11"/>
  <c r="G27" i="11"/>
  <c r="B27" i="11"/>
  <c r="G26" i="11"/>
  <c r="B26" i="11"/>
  <c r="N25" i="11"/>
  <c r="G25" i="11"/>
  <c r="B25" i="11"/>
  <c r="G24" i="11"/>
  <c r="AK7" i="11" s="1"/>
  <c r="B24" i="11"/>
  <c r="N23" i="11"/>
  <c r="G23" i="11"/>
  <c r="B23" i="11"/>
  <c r="N22" i="11"/>
  <c r="N24" i="11" s="1"/>
  <c r="G22" i="11"/>
  <c r="B22" i="11"/>
  <c r="N21" i="11"/>
  <c r="G21" i="11"/>
  <c r="B21" i="11"/>
  <c r="G20" i="11"/>
  <c r="N19" i="11"/>
  <c r="G19" i="11"/>
  <c r="AF5" i="11" s="1"/>
  <c r="N18" i="11"/>
  <c r="G18" i="11"/>
  <c r="N17" i="11"/>
  <c r="G17" i="11"/>
  <c r="C17" i="11"/>
  <c r="N16" i="11"/>
  <c r="G16" i="11"/>
  <c r="N15" i="11"/>
  <c r="G15" i="11"/>
  <c r="G14" i="11"/>
  <c r="G13" i="11"/>
  <c r="N12" i="11"/>
  <c r="G12" i="11"/>
  <c r="N11" i="11"/>
  <c r="G11" i="11"/>
  <c r="N10" i="11"/>
  <c r="G10" i="11"/>
  <c r="N9" i="11"/>
  <c r="N13" i="11" s="1"/>
  <c r="G9" i="11"/>
  <c r="G8" i="11"/>
  <c r="U4" i="11" a="1"/>
  <c r="AS33" i="11" s="1"/>
  <c r="E17" i="1" l="1"/>
  <c r="E18" i="1"/>
  <c r="E13" i="1"/>
  <c r="E14" i="1"/>
  <c r="E15" i="1"/>
  <c r="E16" i="1"/>
  <c r="E30" i="1"/>
  <c r="Y15" i="11"/>
  <c r="AQ5" i="11"/>
  <c r="AA12" i="11"/>
  <c r="AU7" i="11"/>
  <c r="AT7" i="11"/>
  <c r="AP7" i="11"/>
  <c r="AB7" i="11"/>
  <c r="AW21" i="11"/>
  <c r="AW70" i="11" s="1"/>
  <c r="Z6" i="11"/>
  <c r="AX79" i="11"/>
  <c r="AP14" i="11"/>
  <c r="AL18" i="11"/>
  <c r="U4" i="11"/>
  <c r="U18" i="11" s="1"/>
  <c r="AG15" i="11"/>
  <c r="U13" i="11"/>
  <c r="V33" i="11"/>
  <c r="V34" i="11" s="1"/>
  <c r="AW8" i="11"/>
  <c r="AW9" i="11" s="1"/>
  <c r="AN21" i="11"/>
  <c r="AN37" i="11" s="1"/>
  <c r="Y33" i="11"/>
  <c r="Y34" i="11" s="1"/>
  <c r="AC11" i="11"/>
  <c r="AI15" i="11"/>
  <c r="AA33" i="11"/>
  <c r="AA50" i="11" s="1"/>
  <c r="AO6" i="11"/>
  <c r="AH33" i="11"/>
  <c r="W7" i="11"/>
  <c r="AL33" i="11"/>
  <c r="AL34" i="11" s="1"/>
  <c r="AD5" i="11"/>
  <c r="AP6" i="11"/>
  <c r="AO33" i="11"/>
  <c r="AO79" i="11" s="1"/>
  <c r="X13" i="11"/>
  <c r="AQ23" i="11"/>
  <c r="AR33" i="11"/>
  <c r="AE5" i="11"/>
  <c r="AQ14" i="11"/>
  <c r="AP8" i="11"/>
  <c r="AP9" i="11" s="1"/>
  <c r="AW6" i="11"/>
  <c r="AW12" i="11"/>
  <c r="AM5" i="11"/>
  <c r="AH12" i="11"/>
  <c r="AA14" i="11"/>
  <c r="AA18" i="11"/>
  <c r="AA6" i="11"/>
  <c r="AA5" i="11"/>
  <c r="AQ13" i="11"/>
  <c r="AC14" i="11"/>
  <c r="AA13" i="11"/>
  <c r="W14" i="11"/>
  <c r="AU6" i="11"/>
  <c r="W8" i="11"/>
  <c r="W9" i="11" s="1"/>
  <c r="W6" i="11"/>
  <c r="AG8" i="11"/>
  <c r="AG9" i="11" s="1"/>
  <c r="AX8" i="11"/>
  <c r="AX9" i="11" s="1"/>
  <c r="AH13" i="11"/>
  <c r="AI6" i="11"/>
  <c r="AX21" i="11"/>
  <c r="AX70" i="11" s="1"/>
  <c r="V18" i="11"/>
  <c r="AX11" i="11"/>
  <c r="AX15" i="11"/>
  <c r="Y23" i="11"/>
  <c r="Y6" i="11"/>
  <c r="AB12" i="11"/>
  <c r="AE21" i="11"/>
  <c r="AE37" i="11" s="1"/>
  <c r="AC6" i="11"/>
  <c r="AF21" i="11"/>
  <c r="AF37" i="11" s="1"/>
  <c r="Y8" i="11"/>
  <c r="Y9" i="11" s="1"/>
  <c r="AI21" i="11"/>
  <c r="AI37" i="11" s="1"/>
  <c r="AX6" i="11"/>
  <c r="AC7" i="11"/>
  <c r="AD15" i="11"/>
  <c r="AI7" i="11"/>
  <c r="Y18" i="11"/>
  <c r="Y11" i="11"/>
  <c r="AM15" i="11"/>
  <c r="AL12" i="11"/>
  <c r="AL15" i="11"/>
  <c r="AT18" i="11"/>
  <c r="AV18" i="11"/>
  <c r="U8" i="11"/>
  <c r="U9" i="11" s="1"/>
  <c r="V14" i="11"/>
  <c r="AP15" i="11"/>
  <c r="C23" i="11"/>
  <c r="AL5" i="11"/>
  <c r="AS7" i="11"/>
  <c r="AS8" i="11" s="1"/>
  <c r="AS9" i="11" s="1"/>
  <c r="AU11" i="11"/>
  <c r="AU14" i="11"/>
  <c r="AW14" i="11"/>
  <c r="Y21" i="11"/>
  <c r="Y70" i="11" s="1"/>
  <c r="AL23" i="11"/>
  <c r="AD21" i="11"/>
  <c r="AD37" i="11" s="1"/>
  <c r="AW23" i="11"/>
  <c r="C35" i="11"/>
  <c r="Y7" i="11"/>
  <c r="AL8" i="11"/>
  <c r="AL9" i="11" s="1"/>
  <c r="AM12" i="11"/>
  <c r="AD14" i="11"/>
  <c r="AU5" i="11"/>
  <c r="AO8" i="11"/>
  <c r="AO9" i="11" s="1"/>
  <c r="AD11" i="11"/>
  <c r="AR12" i="11"/>
  <c r="AK14" i="11"/>
  <c r="AW15" i="11"/>
  <c r="AK5" i="11"/>
  <c r="AK12" i="11"/>
  <c r="AK8" i="11"/>
  <c r="AK9" i="11" s="1"/>
  <c r="AN11" i="11"/>
  <c r="AO11" i="11"/>
  <c r="Z13" i="11"/>
  <c r="AO7" i="11"/>
  <c r="AK23" i="11"/>
  <c r="AO14" i="11"/>
  <c r="AK21" i="11"/>
  <c r="AO13" i="11"/>
  <c r="V79" i="11"/>
  <c r="AH50" i="11"/>
  <c r="AH56" i="11" s="1"/>
  <c r="AS21" i="11"/>
  <c r="AS12" i="11"/>
  <c r="AS14" i="11"/>
  <c r="AJ21" i="11"/>
  <c r="AJ5" i="11"/>
  <c r="AJ8" i="11"/>
  <c r="AJ9" i="11" s="1"/>
  <c r="AJ23" i="11"/>
  <c r="AO34" i="11"/>
  <c r="X8" i="11"/>
  <c r="X9" i="11" s="1"/>
  <c r="X23" i="11"/>
  <c r="X18" i="11"/>
  <c r="X12" i="11"/>
  <c r="X11" i="11"/>
  <c r="X7" i="11"/>
  <c r="AL79" i="11"/>
  <c r="AL50" i="11"/>
  <c r="AE7" i="11"/>
  <c r="AE23" i="11"/>
  <c r="AE6" i="11"/>
  <c r="AE13" i="11"/>
  <c r="AR79" i="11"/>
  <c r="AR34" i="11"/>
  <c r="AR50" i="11"/>
  <c r="AS79" i="11"/>
  <c r="AS34" i="11"/>
  <c r="AS50" i="11"/>
  <c r="AT12" i="11"/>
  <c r="AT13" i="11"/>
  <c r="AT23" i="11"/>
  <c r="AT11" i="11"/>
  <c r="AF18" i="11"/>
  <c r="AF13" i="11"/>
  <c r="AF11" i="11"/>
  <c r="AF6" i="11"/>
  <c r="AK13" i="11"/>
  <c r="U23" i="11"/>
  <c r="G38" i="11"/>
  <c r="AQ33" i="11"/>
  <c r="AC33" i="11"/>
  <c r="AO23" i="11"/>
  <c r="AA23" i="11"/>
  <c r="AQ21" i="11"/>
  <c r="AC21" i="11"/>
  <c r="AW18" i="11"/>
  <c r="AI18" i="11"/>
  <c r="Z15" i="11"/>
  <c r="AV14" i="11"/>
  <c r="AH14" i="11"/>
  <c r="AP13" i="11"/>
  <c r="AB13" i="11"/>
  <c r="AN12" i="11"/>
  <c r="Z12" i="11"/>
  <c r="AS11" i="11"/>
  <c r="AS15" i="11" s="1"/>
  <c r="AE11" i="11"/>
  <c r="AR8" i="11"/>
  <c r="AR9" i="11" s="1"/>
  <c r="AD8" i="11"/>
  <c r="AD9" i="11" s="1"/>
  <c r="AX7" i="11"/>
  <c r="AJ7" i="11"/>
  <c r="V7" i="11"/>
  <c r="AL6" i="11"/>
  <c r="X6" i="11"/>
  <c r="Z5" i="11"/>
  <c r="AP33" i="11"/>
  <c r="AB33" i="11"/>
  <c r="AW33" i="11"/>
  <c r="AG33" i="11"/>
  <c r="AS23" i="11"/>
  <c r="AD23" i="11"/>
  <c r="AR21" i="11"/>
  <c r="AB21" i="11"/>
  <c r="AR18" i="11"/>
  <c r="AC18" i="11"/>
  <c r="AV33" i="11"/>
  <c r="AF33" i="11"/>
  <c r="AR23" i="11"/>
  <c r="AC23" i="11"/>
  <c r="AP21" i="11"/>
  <c r="AA21" i="11"/>
  <c r="AQ18" i="11"/>
  <c r="AB18" i="11"/>
  <c r="AR15" i="11"/>
  <c r="AX14" i="11"/>
  <c r="AI14" i="11"/>
  <c r="AN13" i="11"/>
  <c r="Y13" i="11"/>
  <c r="AV12" i="11"/>
  <c r="AG12" i="11"/>
  <c r="AJ11" i="11"/>
  <c r="AV7" i="11"/>
  <c r="AG7" i="11"/>
  <c r="AV6" i="11"/>
  <c r="AG6" i="11"/>
  <c r="AV5" i="11"/>
  <c r="AG5" i="11"/>
  <c r="AT33" i="11"/>
  <c r="Z33" i="11"/>
  <c r="AM23" i="11"/>
  <c r="V23" i="11"/>
  <c r="AH21" i="11"/>
  <c r="AN18" i="11"/>
  <c r="W18" i="11"/>
  <c r="AU15" i="11"/>
  <c r="AE15" i="11"/>
  <c r="AG14" i="11"/>
  <c r="AL13" i="11"/>
  <c r="V13" i="11"/>
  <c r="AP12" i="11"/>
  <c r="Y12" i="11"/>
  <c r="AQ11" i="11"/>
  <c r="AA11" i="11"/>
  <c r="AV8" i="11"/>
  <c r="AV9" i="11" s="1"/>
  <c r="AF8" i="11"/>
  <c r="AF9" i="11" s="1"/>
  <c r="AW7" i="11"/>
  <c r="AF7" i="11"/>
  <c r="AT6" i="11"/>
  <c r="AT8" i="11" s="1"/>
  <c r="AT9" i="11" s="1"/>
  <c r="AD6" i="11"/>
  <c r="AR5" i="11"/>
  <c r="AM33" i="11"/>
  <c r="AH23" i="11"/>
  <c r="AT21" i="11"/>
  <c r="Z21" i="11"/>
  <c r="AH18" i="11"/>
  <c r="AO15" i="11"/>
  <c r="X15" i="11"/>
  <c r="AR14" i="11"/>
  <c r="AB14" i="11"/>
  <c r="AW13" i="11"/>
  <c r="AG13" i="11"/>
  <c r="AJ12" i="11"/>
  <c r="AL11" i="11"/>
  <c r="V11" i="11"/>
  <c r="AI33" i="11"/>
  <c r="AU23" i="11"/>
  <c r="AB23" i="11"/>
  <c r="AM21" i="11"/>
  <c r="V21" i="11"/>
  <c r="AU18" i="11"/>
  <c r="AD18" i="11"/>
  <c r="AJ15" i="11"/>
  <c r="AN14" i="11"/>
  <c r="X14" i="11"/>
  <c r="AS13" i="11"/>
  <c r="AC13" i="11"/>
  <c r="AU12" i="11"/>
  <c r="AE12" i="11"/>
  <c r="AW11" i="11"/>
  <c r="AG11" i="11"/>
  <c r="AE33" i="11"/>
  <c r="AP23" i="11"/>
  <c r="AV21" i="11"/>
  <c r="X21" i="11"/>
  <c r="AJ18" i="11"/>
  <c r="W15" i="11"/>
  <c r="AM14" i="11"/>
  <c r="AJ13" i="11"/>
  <c r="AQ12" i="11"/>
  <c r="V12" i="11"/>
  <c r="AI11" i="11"/>
  <c r="AA8" i="11"/>
  <c r="AA9" i="11" s="1"/>
  <c r="AR7" i="11"/>
  <c r="AA7" i="11"/>
  <c r="AN6" i="11"/>
  <c r="V6" i="11"/>
  <c r="AI5" i="11"/>
  <c r="AD33" i="11"/>
  <c r="AN23" i="11"/>
  <c r="AU21" i="11"/>
  <c r="W21" i="11"/>
  <c r="AG18" i="11"/>
  <c r="AQ15" i="11"/>
  <c r="V15" i="11"/>
  <c r="AL14" i="11"/>
  <c r="AI13" i="11"/>
  <c r="AO12" i="11"/>
  <c r="AH11" i="11"/>
  <c r="AQ8" i="11"/>
  <c r="AQ9" i="11" s="1"/>
  <c r="Z8" i="11"/>
  <c r="Z9" i="11" s="1"/>
  <c r="AQ7" i="11"/>
  <c r="Z7" i="11"/>
  <c r="AM6" i="11"/>
  <c r="AU33" i="11"/>
  <c r="W33" i="11"/>
  <c r="AI23" i="11"/>
  <c r="AL21" i="11"/>
  <c r="AX18" i="11"/>
  <c r="Z18" i="11"/>
  <c r="AK15" i="11"/>
  <c r="AE14" i="11"/>
  <c r="AX13" i="11"/>
  <c r="AD13" i="11"/>
  <c r="AI12" i="11"/>
  <c r="AV11" i="11"/>
  <c r="AB11" i="11"/>
  <c r="AB15" i="11" s="1"/>
  <c r="AM8" i="11"/>
  <c r="AM9" i="11" s="1"/>
  <c r="V8" i="11"/>
  <c r="V9" i="11" s="1"/>
  <c r="AM7" i="11"/>
  <c r="AH6" i="11"/>
  <c r="AN33" i="11"/>
  <c r="AX23" i="11"/>
  <c r="Z23" i="11"/>
  <c r="AG21" i="11"/>
  <c r="AP18" i="11"/>
  <c r="AF15" i="11"/>
  <c r="AT14" i="11"/>
  <c r="Z14" i="11"/>
  <c r="AR13" i="11"/>
  <c r="W13" i="11"/>
  <c r="AX12" i="11"/>
  <c r="AC12" i="11"/>
  <c r="AP11" i="11"/>
  <c r="W11" i="11"/>
  <c r="AI8" i="11"/>
  <c r="AI9" i="11" s="1"/>
  <c r="AH7" i="11"/>
  <c r="AS6" i="11"/>
  <c r="AB6" i="11"/>
  <c r="AB8" i="11" s="1"/>
  <c r="AB9" i="11" s="1"/>
  <c r="AO5" i="11"/>
  <c r="W5" i="11"/>
  <c r="AP5" i="11"/>
  <c r="AJ6" i="11"/>
  <c r="AD7" i="11"/>
  <c r="AU8" i="11"/>
  <c r="AU9" i="11" s="1"/>
  <c r="Z11" i="11"/>
  <c r="W12" i="11"/>
  <c r="AM13" i="11"/>
  <c r="Y14" i="11"/>
  <c r="AV15" i="11"/>
  <c r="AE18" i="11"/>
  <c r="AO21" i="11"/>
  <c r="W23" i="11"/>
  <c r="X33" i="11"/>
  <c r="AX50" i="11"/>
  <c r="N29" i="11"/>
  <c r="N38" i="11" s="1"/>
  <c r="N31" i="11"/>
  <c r="U12" i="11"/>
  <c r="U6" i="11"/>
  <c r="U7" i="11"/>
  <c r="AK6" i="11"/>
  <c r="AK18" i="11"/>
  <c r="AH34" i="11"/>
  <c r="AH79" i="11"/>
  <c r="X5" i="11"/>
  <c r="AW5" i="11"/>
  <c r="AQ6" i="11"/>
  <c r="AL7" i="11"/>
  <c r="AK11" i="11"/>
  <c r="AD12" i="11"/>
  <c r="AU13" i="11"/>
  <c r="AF14" i="11"/>
  <c r="AA15" i="11"/>
  <c r="AM18" i="11"/>
  <c r="AF23" i="11"/>
  <c r="AJ33" i="11"/>
  <c r="V50" i="11"/>
  <c r="U14" i="11"/>
  <c r="Y50" i="11"/>
  <c r="Y5" i="11"/>
  <c r="AX5" i="11"/>
  <c r="AR6" i="11"/>
  <c r="AN7" i="11"/>
  <c r="AE8" i="11"/>
  <c r="AE9" i="11" s="1"/>
  <c r="AM11" i="11"/>
  <c r="AF12" i="11"/>
  <c r="AV13" i="11"/>
  <c r="AJ14" i="11"/>
  <c r="AO18" i="11"/>
  <c r="U21" i="11"/>
  <c r="AG23" i="11"/>
  <c r="AK33" i="11"/>
  <c r="S83" i="4"/>
  <c r="S84" i="4"/>
  <c r="J91" i="15"/>
  <c r="H91" i="15"/>
  <c r="J90" i="15"/>
  <c r="H90" i="15"/>
  <c r="J89" i="15"/>
  <c r="H89" i="15"/>
  <c r="G89" i="15"/>
  <c r="F89" i="15"/>
  <c r="E89" i="15"/>
  <c r="J88" i="15"/>
  <c r="H88" i="15"/>
  <c r="G88" i="15"/>
  <c r="F88" i="15"/>
  <c r="E88" i="15"/>
  <c r="C88" i="15"/>
  <c r="J87" i="15"/>
  <c r="H87" i="15"/>
  <c r="G87" i="15"/>
  <c r="F87" i="15"/>
  <c r="E87" i="15"/>
  <c r="J86" i="15"/>
  <c r="H86" i="15"/>
  <c r="G86" i="15"/>
  <c r="F86" i="15"/>
  <c r="E86" i="15"/>
  <c r="J85" i="15"/>
  <c r="H85" i="15"/>
  <c r="G85" i="15"/>
  <c r="F85" i="15"/>
  <c r="E85" i="15"/>
  <c r="D85" i="15"/>
  <c r="C85" i="15"/>
  <c r="B85" i="15"/>
  <c r="I84" i="15"/>
  <c r="H84" i="15"/>
  <c r="D84" i="15"/>
  <c r="H83" i="15"/>
  <c r="H82" i="15"/>
  <c r="E82" i="15"/>
  <c r="H81" i="15"/>
  <c r="B81" i="15"/>
  <c r="J80" i="15"/>
  <c r="I80" i="15"/>
  <c r="H80" i="15"/>
  <c r="G80" i="15"/>
  <c r="F80" i="15"/>
  <c r="E80" i="15"/>
  <c r="D80" i="15"/>
  <c r="C80" i="15"/>
  <c r="B80" i="15"/>
  <c r="J79" i="15"/>
  <c r="I79" i="15"/>
  <c r="H79" i="15"/>
  <c r="G79" i="15"/>
  <c r="F79" i="15"/>
  <c r="E79" i="15"/>
  <c r="D79" i="15"/>
  <c r="C79" i="15"/>
  <c r="B79" i="15"/>
  <c r="H78" i="15"/>
  <c r="J77" i="15"/>
  <c r="I77" i="15"/>
  <c r="H77" i="15"/>
  <c r="G77" i="15"/>
  <c r="F77" i="15"/>
  <c r="E77" i="15"/>
  <c r="D77" i="15"/>
  <c r="C77" i="15"/>
  <c r="B77" i="15"/>
  <c r="I76" i="15"/>
  <c r="H76" i="15"/>
  <c r="I75" i="15"/>
  <c r="J74" i="15"/>
  <c r="I73" i="15"/>
  <c r="H73" i="15"/>
  <c r="E73" i="15"/>
  <c r="H72" i="15"/>
  <c r="G71" i="15"/>
  <c r="G70" i="15"/>
  <c r="J69" i="15"/>
  <c r="J68" i="15"/>
  <c r="F48" i="15"/>
  <c r="F47" i="15"/>
  <c r="H46" i="15"/>
  <c r="G46" i="15"/>
  <c r="F46" i="15"/>
  <c r="I45" i="15"/>
  <c r="H45" i="15"/>
  <c r="G45" i="15"/>
  <c r="F45" i="15"/>
  <c r="E45" i="15"/>
  <c r="D45" i="15"/>
  <c r="C45" i="15"/>
  <c r="B45" i="15"/>
  <c r="I44" i="15"/>
  <c r="F44" i="15"/>
  <c r="I43" i="15"/>
  <c r="H43" i="15"/>
  <c r="G43" i="15"/>
  <c r="F43" i="15"/>
  <c r="E43" i="15"/>
  <c r="D43" i="15"/>
  <c r="C43" i="15"/>
  <c r="B43" i="15"/>
  <c r="I42" i="15"/>
  <c r="H42" i="15"/>
  <c r="F42" i="15"/>
  <c r="H41" i="15"/>
  <c r="G41" i="15"/>
  <c r="F41" i="15"/>
  <c r="E41" i="15"/>
  <c r="D41" i="15"/>
  <c r="C41" i="15"/>
  <c r="B41" i="15"/>
  <c r="F40" i="15"/>
  <c r="E40" i="15"/>
  <c r="G39" i="15"/>
  <c r="B39" i="15"/>
  <c r="B38" i="15"/>
  <c r="H37" i="15"/>
  <c r="G37" i="15"/>
  <c r="F37" i="15"/>
  <c r="E37" i="15"/>
  <c r="D37" i="15"/>
  <c r="C37" i="15"/>
  <c r="B37" i="15"/>
  <c r="H36" i="15"/>
  <c r="G36" i="15"/>
  <c r="F36" i="15"/>
  <c r="E36" i="15"/>
  <c r="D36" i="15"/>
  <c r="C36" i="15"/>
  <c r="B36" i="15"/>
  <c r="I35" i="15"/>
  <c r="H35" i="15"/>
  <c r="G35" i="15"/>
  <c r="F35" i="15"/>
  <c r="E35" i="15"/>
  <c r="D35" i="15"/>
  <c r="C35" i="15"/>
  <c r="B35" i="15"/>
  <c r="G34" i="15"/>
  <c r="E34" i="15"/>
  <c r="C34" i="15"/>
  <c r="E33" i="15"/>
  <c r="G32" i="15"/>
  <c r="E32" i="15"/>
  <c r="D32" i="15"/>
  <c r="C32" i="15"/>
  <c r="G31" i="15"/>
  <c r="F31" i="15"/>
  <c r="E31" i="15"/>
  <c r="D31" i="15"/>
  <c r="C31" i="15"/>
  <c r="H30" i="15"/>
  <c r="E30" i="15"/>
  <c r="D30" i="15"/>
  <c r="C30" i="15"/>
  <c r="I29" i="15"/>
  <c r="H29" i="15"/>
  <c r="G29" i="15"/>
  <c r="F29" i="15"/>
  <c r="E29" i="15"/>
  <c r="D29" i="15"/>
  <c r="C29" i="15"/>
  <c r="B29" i="15"/>
  <c r="I28" i="15"/>
  <c r="H28" i="15"/>
  <c r="G28" i="15"/>
  <c r="F28" i="15"/>
  <c r="E28" i="15"/>
  <c r="D28" i="15"/>
  <c r="C28" i="15"/>
  <c r="I27" i="15"/>
  <c r="H27" i="15"/>
  <c r="G27" i="15"/>
  <c r="F27" i="15"/>
  <c r="D27" i="15"/>
  <c r="C27" i="15"/>
  <c r="I26" i="15"/>
  <c r="H26" i="15"/>
  <c r="F26" i="15"/>
  <c r="I25" i="15"/>
  <c r="H25" i="15"/>
  <c r="F25" i="15"/>
  <c r="BA26" i="12"/>
  <c r="AZ26" i="12"/>
  <c r="AX26" i="12"/>
  <c r="AN26" i="12"/>
  <c r="J26" i="12" a="1"/>
  <c r="J26" i="12" s="1"/>
  <c r="BA25" i="12"/>
  <c r="AZ25" i="12"/>
  <c r="AX25" i="12"/>
  <c r="D91" i="15" s="1"/>
  <c r="AN25" i="12"/>
  <c r="B48" i="15"/>
  <c r="J25" i="12" a="1"/>
  <c r="J25" i="12" s="1"/>
  <c r="AZ24" i="12"/>
  <c r="AX24" i="12"/>
  <c r="I90" i="15" s="1"/>
  <c r="AN24" i="12"/>
  <c r="BB24" i="12"/>
  <c r="T24" i="12"/>
  <c r="BA24" i="12" s="1"/>
  <c r="J24" i="12" a="1"/>
  <c r="J24" i="12" s="1"/>
  <c r="AZ23" i="12"/>
  <c r="AX23" i="12"/>
  <c r="I89" i="15" s="1"/>
  <c r="AN23" i="12"/>
  <c r="E46" i="15"/>
  <c r="T23" i="12"/>
  <c r="BA23" i="12" s="1"/>
  <c r="J23" i="12" a="1"/>
  <c r="J23" i="12" s="1"/>
  <c r="BB22" i="12"/>
  <c r="AZ22" i="12"/>
  <c r="AX22" i="12"/>
  <c r="B88" i="15" s="1"/>
  <c r="AN22" i="12"/>
  <c r="S22" i="12"/>
  <c r="T22" i="12" s="1"/>
  <c r="AD22" i="12" s="1"/>
  <c r="AY22" i="12" s="1"/>
  <c r="J22" i="12" a="1"/>
  <c r="J22" i="12" s="1"/>
  <c r="AZ21" i="12"/>
  <c r="AX21" i="12"/>
  <c r="D87" i="15" s="1"/>
  <c r="AN21" i="12"/>
  <c r="D44" i="15"/>
  <c r="T21" i="12"/>
  <c r="BA21" i="12" s="1"/>
  <c r="J21" i="12" a="1"/>
  <c r="J21" i="12" s="1"/>
  <c r="BB20" i="12"/>
  <c r="AZ20" i="12"/>
  <c r="AX20" i="12"/>
  <c r="I86" i="15" s="1"/>
  <c r="AN20" i="12"/>
  <c r="S20" i="12"/>
  <c r="T20" i="12" s="1"/>
  <c r="AD20" i="12" s="1"/>
  <c r="J20" i="12" a="1"/>
  <c r="J20" i="12" s="1"/>
  <c r="AZ19" i="12"/>
  <c r="AN19" i="12"/>
  <c r="G42" i="15"/>
  <c r="S19" i="12"/>
  <c r="T19" i="12" s="1"/>
  <c r="J19" i="12" a="1"/>
  <c r="J19" i="12" s="1"/>
  <c r="AZ18" i="12"/>
  <c r="AX18" i="12"/>
  <c r="G84" i="15" s="1"/>
  <c r="AN18" i="12"/>
  <c r="T18" i="12"/>
  <c r="BA18" i="12" s="1"/>
  <c r="J18" i="12" a="1"/>
  <c r="J18" i="12" s="1"/>
  <c r="AZ17" i="12"/>
  <c r="AX17" i="12"/>
  <c r="D83" i="15" s="1"/>
  <c r="AN17" i="12"/>
  <c r="T17" i="12"/>
  <c r="BA17" i="12" s="1"/>
  <c r="J17" i="12" a="1"/>
  <c r="J17" i="12" s="1"/>
  <c r="AZ16" i="12"/>
  <c r="AX16" i="12"/>
  <c r="I82" i="15" s="1"/>
  <c r="AN16" i="12"/>
  <c r="H39" i="15"/>
  <c r="T16" i="12"/>
  <c r="BA16" i="12" s="1"/>
  <c r="J16" i="12" a="1"/>
  <c r="J16" i="12" s="1"/>
  <c r="AZ15" i="12"/>
  <c r="AX15" i="12"/>
  <c r="BD15" i="12" s="1"/>
  <c r="D38" i="15"/>
  <c r="J15" i="12" a="1"/>
  <c r="J15" i="12" s="1"/>
  <c r="AZ14" i="12"/>
  <c r="AX14" i="12"/>
  <c r="AM14" i="12"/>
  <c r="AN14" i="12" s="1"/>
  <c r="I37" i="15"/>
  <c r="T14" i="12"/>
  <c r="J14" i="12" a="1"/>
  <c r="J14" i="12" s="1"/>
  <c r="AZ13" i="12"/>
  <c r="AX13" i="12"/>
  <c r="AN13" i="12"/>
  <c r="T13" i="12"/>
  <c r="J13" i="12" a="1"/>
  <c r="J13" i="12" s="1"/>
  <c r="BB12" i="12"/>
  <c r="AZ12" i="12"/>
  <c r="AX12" i="12"/>
  <c r="BD12" i="12" s="1"/>
  <c r="AN12" i="12"/>
  <c r="S12" i="12"/>
  <c r="R12" i="12"/>
  <c r="O12" i="12"/>
  <c r="L12" i="12"/>
  <c r="J12" i="12" a="1"/>
  <c r="J12" i="12" s="1"/>
  <c r="AZ11" i="12"/>
  <c r="AX11" i="12"/>
  <c r="AN11" i="12"/>
  <c r="F34" i="15"/>
  <c r="T11" i="12"/>
  <c r="J11" i="12" a="1"/>
  <c r="J11" i="12" s="1"/>
  <c r="AZ10" i="12"/>
  <c r="AX10" i="12"/>
  <c r="BD10" i="12" s="1"/>
  <c r="AN10" i="12"/>
  <c r="T10" i="12"/>
  <c r="BA10" i="12" s="1"/>
  <c r="J10" i="12" a="1"/>
  <c r="J10" i="12" s="1"/>
  <c r="AZ9" i="12"/>
  <c r="AX9" i="12"/>
  <c r="G75" i="15" s="1"/>
  <c r="AN9" i="12"/>
  <c r="T9" i="12"/>
  <c r="J9" i="12" a="1"/>
  <c r="J9" i="12" s="1"/>
  <c r="AZ8" i="12"/>
  <c r="AX8" i="12"/>
  <c r="C74" i="15" s="1"/>
  <c r="AN8" i="12"/>
  <c r="T8" i="12"/>
  <c r="BA8" i="12" s="1"/>
  <c r="J8" i="12" a="1"/>
  <c r="J8" i="12" s="1"/>
  <c r="AZ7" i="12"/>
  <c r="AX7" i="12"/>
  <c r="J73" i="15" s="1"/>
  <c r="AN7" i="12"/>
  <c r="BB7" i="12"/>
  <c r="T7" i="12"/>
  <c r="BA7" i="12" s="1"/>
  <c r="J7" i="12" a="1"/>
  <c r="J7" i="12" s="1"/>
  <c r="BB6" i="12"/>
  <c r="AZ6" i="12"/>
  <c r="AX6" i="12"/>
  <c r="AN6" i="12"/>
  <c r="J6" i="12" a="1"/>
  <c r="J6" i="12" s="1"/>
  <c r="AZ5" i="12"/>
  <c r="AX5" i="12"/>
  <c r="AN5" i="12"/>
  <c r="T5" i="12"/>
  <c r="BA5" i="12" s="1"/>
  <c r="J5" i="12" a="1"/>
  <c r="J5" i="12" s="1"/>
  <c r="AZ4" i="12"/>
  <c r="AX4" i="12"/>
  <c r="F70" i="15" s="1"/>
  <c r="AN4" i="12"/>
  <c r="T4" i="12"/>
  <c r="BA4" i="12" s="1"/>
  <c r="J4" i="12" a="1"/>
  <c r="J4" i="12" s="1"/>
  <c r="AZ3" i="12"/>
  <c r="AX3" i="12"/>
  <c r="C69" i="15" s="1"/>
  <c r="AN3" i="12"/>
  <c r="G26" i="15"/>
  <c r="T3" i="12"/>
  <c r="BA3" i="12" s="1"/>
  <c r="J3" i="12" a="1"/>
  <c r="J3" i="12" s="1"/>
  <c r="AZ2" i="12"/>
  <c r="AX2" i="12"/>
  <c r="BD2" i="12" s="1"/>
  <c r="AN2" i="12"/>
  <c r="E25" i="15"/>
  <c r="T2" i="12"/>
  <c r="BA2" i="12" s="1"/>
  <c r="J2" i="12" a="1"/>
  <c r="J2" i="12" s="1"/>
  <c r="C19" i="8"/>
  <c r="C18" i="8"/>
  <c r="C17" i="8"/>
  <c r="C16" i="8"/>
  <c r="C15" i="8"/>
  <c r="C14" i="8"/>
  <c r="C9" i="8"/>
  <c r="C8" i="8"/>
  <c r="C7" i="8"/>
  <c r="C6" i="8"/>
  <c r="C5" i="8"/>
  <c r="C4" i="8"/>
  <c r="I84" i="5"/>
  <c r="C17" i="5" s="1"/>
  <c r="M78" i="5"/>
  <c r="C27" i="5" s="1"/>
  <c r="M74" i="5"/>
  <c r="C26" i="5" s="1"/>
  <c r="M71" i="5"/>
  <c r="C25" i="5" s="1"/>
  <c r="M67" i="5"/>
  <c r="C24" i="5" s="1"/>
  <c r="M63" i="5"/>
  <c r="M62" i="5"/>
  <c r="M61" i="5"/>
  <c r="M55" i="5"/>
  <c r="M54" i="5"/>
  <c r="M53" i="5"/>
  <c r="M52" i="5"/>
  <c r="C22" i="5" s="1"/>
  <c r="M48" i="5"/>
  <c r="M47" i="5"/>
  <c r="M46" i="5"/>
  <c r="M45" i="5"/>
  <c r="I45" i="5"/>
  <c r="C14" i="5" s="1"/>
  <c r="J38" i="5"/>
  <c r="I38" i="5"/>
  <c r="H38" i="5"/>
  <c r="G37" i="5"/>
  <c r="G36" i="5"/>
  <c r="G35" i="5"/>
  <c r="N34" i="5"/>
  <c r="N36" i="5" s="1"/>
  <c r="G34" i="5"/>
  <c r="N33" i="5"/>
  <c r="N37" i="5" s="1"/>
  <c r="G33" i="5"/>
  <c r="G32" i="5"/>
  <c r="G31" i="5"/>
  <c r="G30" i="5"/>
  <c r="G29" i="5"/>
  <c r="N28" i="5"/>
  <c r="N30" i="5" s="1"/>
  <c r="G28" i="5"/>
  <c r="N27" i="5"/>
  <c r="N31" i="5" s="1"/>
  <c r="G27" i="5"/>
  <c r="B27" i="5"/>
  <c r="G26" i="5"/>
  <c r="B26" i="5"/>
  <c r="G25" i="5"/>
  <c r="B25" i="5"/>
  <c r="G24" i="5"/>
  <c r="B24" i="5"/>
  <c r="G23" i="5"/>
  <c r="B23" i="5"/>
  <c r="N22" i="5"/>
  <c r="N24" i="5" s="1"/>
  <c r="G22" i="5"/>
  <c r="B22" i="5"/>
  <c r="N21" i="5"/>
  <c r="N25" i="5" s="1"/>
  <c r="G21" i="5"/>
  <c r="B21" i="5"/>
  <c r="G20" i="5"/>
  <c r="G19" i="5"/>
  <c r="G18" i="5"/>
  <c r="G17" i="5"/>
  <c r="N16" i="5"/>
  <c r="N18" i="5" s="1"/>
  <c r="G16" i="5"/>
  <c r="N15" i="5"/>
  <c r="N17" i="5" s="1"/>
  <c r="G15" i="5"/>
  <c r="G14" i="5"/>
  <c r="G13" i="5"/>
  <c r="G12" i="5"/>
  <c r="G11" i="5"/>
  <c r="N10" i="5"/>
  <c r="N12" i="5" s="1"/>
  <c r="G10" i="5"/>
  <c r="N9" i="5"/>
  <c r="N13" i="5" s="1"/>
  <c r="G9" i="5"/>
  <c r="G8" i="5"/>
  <c r="W4" i="5" a="1"/>
  <c r="AO34" i="5" s="1"/>
  <c r="AO35" i="5" s="1"/>
  <c r="I91" i="4"/>
  <c r="C18" i="4" s="1"/>
  <c r="M86" i="4"/>
  <c r="C28" i="4" s="1"/>
  <c r="S87" i="4"/>
  <c r="M82" i="4"/>
  <c r="C27" i="4" s="1"/>
  <c r="S86" i="4"/>
  <c r="J79" i="4"/>
  <c r="M78" i="4"/>
  <c r="C26" i="4" s="1"/>
  <c r="S67" i="4"/>
  <c r="M74" i="4"/>
  <c r="C25" i="4" s="1"/>
  <c r="S65" i="4"/>
  <c r="S64" i="4"/>
  <c r="S63" i="4"/>
  <c r="M70" i="4"/>
  <c r="S62" i="4"/>
  <c r="M69" i="4"/>
  <c r="S61" i="4"/>
  <c r="M68" i="4"/>
  <c r="S60" i="4"/>
  <c r="AA98" i="4" a="1"/>
  <c r="AA98" i="4" s="1"/>
  <c r="S56" i="4"/>
  <c r="M62" i="4"/>
  <c r="M61" i="4"/>
  <c r="M60" i="4"/>
  <c r="S49" i="4" s="1"/>
  <c r="M59" i="4"/>
  <c r="R47" i="4"/>
  <c r="X42" i="4" s="1"/>
  <c r="M55" i="4"/>
  <c r="M54" i="4"/>
  <c r="M53" i="4"/>
  <c r="M52" i="4"/>
  <c r="S37" i="4"/>
  <c r="S36" i="4"/>
  <c r="B43" i="4"/>
  <c r="S35" i="4"/>
  <c r="B40" i="4"/>
  <c r="S34" i="4"/>
  <c r="B39" i="4"/>
  <c r="X76" i="4" s="1"/>
  <c r="S33" i="4"/>
  <c r="S32" i="4"/>
  <c r="S31" i="4"/>
  <c r="J38" i="4"/>
  <c r="I38" i="4"/>
  <c r="H38" i="4"/>
  <c r="G37" i="4"/>
  <c r="O37" i="4" s="1"/>
  <c r="G36" i="4"/>
  <c r="O36" i="4" s="1"/>
  <c r="G35" i="4"/>
  <c r="O35" i="4" s="1"/>
  <c r="X44" i="4"/>
  <c r="N34" i="4"/>
  <c r="N36" i="4" s="1"/>
  <c r="G34" i="4"/>
  <c r="O34" i="4" s="1"/>
  <c r="N33" i="4"/>
  <c r="N35" i="4" s="1"/>
  <c r="G33" i="4"/>
  <c r="G32" i="4"/>
  <c r="O32" i="4" s="1"/>
  <c r="G31" i="4"/>
  <c r="G30" i="4"/>
  <c r="O30" i="4" s="1"/>
  <c r="G29" i="4"/>
  <c r="O29" i="4" s="1"/>
  <c r="N28" i="4"/>
  <c r="N30" i="4" s="1"/>
  <c r="G28" i="4"/>
  <c r="B28" i="4"/>
  <c r="X37" i="4"/>
  <c r="N27" i="4"/>
  <c r="N29" i="4" s="1"/>
  <c r="G27" i="4"/>
  <c r="B27" i="4"/>
  <c r="G26" i="4"/>
  <c r="O26" i="4" s="1"/>
  <c r="B26" i="4"/>
  <c r="G25" i="4"/>
  <c r="B25" i="4"/>
  <c r="G24" i="4"/>
  <c r="O24" i="4" s="1"/>
  <c r="B24" i="4"/>
  <c r="G23" i="4"/>
  <c r="O23" i="4" s="1"/>
  <c r="B23" i="4"/>
  <c r="X82" i="4" s="1"/>
  <c r="N22" i="4"/>
  <c r="N24" i="4" s="1"/>
  <c r="G22" i="4"/>
  <c r="B22" i="4"/>
  <c r="N21" i="4"/>
  <c r="N23" i="4" s="1"/>
  <c r="G21" i="4"/>
  <c r="G20" i="4"/>
  <c r="O20" i="4" s="1"/>
  <c r="G19" i="4"/>
  <c r="Z18" i="4"/>
  <c r="AA18" i="4" s="1"/>
  <c r="AB18" i="4" s="1"/>
  <c r="AC18" i="4" s="1"/>
  <c r="AD18" i="4" s="1"/>
  <c r="AE18" i="4" s="1"/>
  <c r="AF18" i="4" s="1"/>
  <c r="AG18" i="4" s="1"/>
  <c r="AH18" i="4" s="1"/>
  <c r="AI18" i="4" s="1"/>
  <c r="AJ18" i="4" s="1"/>
  <c r="AK18" i="4" s="1"/>
  <c r="AL18" i="4" s="1"/>
  <c r="AM18" i="4" s="1"/>
  <c r="AN18" i="4" s="1"/>
  <c r="G18" i="4"/>
  <c r="O18" i="4" s="1"/>
  <c r="G17" i="4"/>
  <c r="O17" i="4" s="1"/>
  <c r="N16" i="4"/>
  <c r="N18" i="4" s="1"/>
  <c r="G16" i="4"/>
  <c r="N15" i="4"/>
  <c r="N17" i="4" s="1"/>
  <c r="G15" i="4"/>
  <c r="G14" i="4"/>
  <c r="O14" i="4" s="1"/>
  <c r="G13" i="4"/>
  <c r="G12" i="4"/>
  <c r="G11" i="4"/>
  <c r="N10" i="4"/>
  <c r="N12" i="4" s="1"/>
  <c r="G10" i="4"/>
  <c r="N9" i="4"/>
  <c r="N13" i="4" s="1"/>
  <c r="G9" i="4"/>
  <c r="G8" i="4"/>
  <c r="AA4" i="4"/>
  <c r="M107" i="3"/>
  <c r="C29" i="3" s="1"/>
  <c r="M103" i="3"/>
  <c r="C28" i="3" s="1"/>
  <c r="M99" i="3"/>
  <c r="C27" i="3" s="1"/>
  <c r="M95" i="3"/>
  <c r="C26" i="3" s="1"/>
  <c r="M91" i="3"/>
  <c r="M90" i="3"/>
  <c r="S63" i="3"/>
  <c r="M89" i="3"/>
  <c r="J75" i="3"/>
  <c r="S61" i="3"/>
  <c r="S60" i="3"/>
  <c r="S59" i="3"/>
  <c r="S58" i="3"/>
  <c r="S57" i="3"/>
  <c r="M75" i="3"/>
  <c r="S56" i="3"/>
  <c r="M74" i="3"/>
  <c r="M73" i="3"/>
  <c r="M71" i="3"/>
  <c r="S52" i="3"/>
  <c r="M70" i="3"/>
  <c r="S50" i="3"/>
  <c r="M56" i="3"/>
  <c r="M55" i="3"/>
  <c r="R43" i="3"/>
  <c r="X39" i="3" s="1"/>
  <c r="M54" i="3"/>
  <c r="S45" i="3" s="1"/>
  <c r="M53" i="3"/>
  <c r="C21" i="3" s="1"/>
  <c r="M49" i="3"/>
  <c r="M48" i="3"/>
  <c r="M47" i="3"/>
  <c r="S35" i="3"/>
  <c r="M46" i="3"/>
  <c r="I49" i="3"/>
  <c r="C14" i="3" s="1"/>
  <c r="S34" i="3"/>
  <c r="S33" i="3"/>
  <c r="S32" i="3"/>
  <c r="S31" i="3"/>
  <c r="B42" i="3"/>
  <c r="X111" i="3" s="1"/>
  <c r="S30" i="3"/>
  <c r="B41" i="3"/>
  <c r="X81" i="3" s="1"/>
  <c r="S29" i="3"/>
  <c r="J38" i="3"/>
  <c r="I38" i="3"/>
  <c r="H38" i="3"/>
  <c r="G37" i="3"/>
  <c r="O37" i="3" s="1"/>
  <c r="G36" i="3"/>
  <c r="O36" i="3" s="1"/>
  <c r="G35" i="3"/>
  <c r="O35" i="3" s="1"/>
  <c r="N34" i="3"/>
  <c r="N36" i="3" s="1"/>
  <c r="G34" i="3"/>
  <c r="O34" i="3" s="1"/>
  <c r="X41" i="3"/>
  <c r="N33" i="3"/>
  <c r="N35" i="3" s="1"/>
  <c r="G33" i="3"/>
  <c r="O33" i="3" s="1"/>
  <c r="G32" i="3"/>
  <c r="O32" i="3" s="1"/>
  <c r="G31" i="3"/>
  <c r="O31" i="3" s="1"/>
  <c r="G30" i="3"/>
  <c r="G29" i="3"/>
  <c r="O29" i="3" s="1"/>
  <c r="N28" i="3"/>
  <c r="N30" i="3" s="1"/>
  <c r="G28" i="3"/>
  <c r="O28" i="3" s="1"/>
  <c r="N27" i="3"/>
  <c r="N29" i="3" s="1"/>
  <c r="G27" i="3"/>
  <c r="O27" i="3" s="1"/>
  <c r="B29" i="3"/>
  <c r="X35" i="3"/>
  <c r="G26" i="3"/>
  <c r="O26" i="3" s="1"/>
  <c r="B28" i="3"/>
  <c r="G25" i="3"/>
  <c r="B27" i="3"/>
  <c r="G24" i="3"/>
  <c r="O24" i="3" s="1"/>
  <c r="B26" i="3"/>
  <c r="G23" i="3"/>
  <c r="O23" i="3" s="1"/>
  <c r="B25" i="3"/>
  <c r="N22" i="3"/>
  <c r="N24" i="3" s="1"/>
  <c r="G22" i="3"/>
  <c r="O22" i="3" s="1"/>
  <c r="N21" i="3"/>
  <c r="N23" i="3" s="1"/>
  <c r="G21" i="3"/>
  <c r="B21" i="3"/>
  <c r="X87" i="3" s="1"/>
  <c r="G20" i="3"/>
  <c r="O20" i="3" s="1"/>
  <c r="B20" i="3"/>
  <c r="G18" i="3"/>
  <c r="G17" i="3"/>
  <c r="N16" i="3"/>
  <c r="N18" i="3" s="1"/>
  <c r="G16" i="3"/>
  <c r="N15" i="3"/>
  <c r="N19" i="3" s="1"/>
  <c r="Z14" i="3"/>
  <c r="AA14" i="3" s="1"/>
  <c r="G14" i="3"/>
  <c r="G13" i="3"/>
  <c r="G12" i="3"/>
  <c r="G11" i="3"/>
  <c r="N10" i="3"/>
  <c r="N12" i="3" s="1"/>
  <c r="G10" i="3"/>
  <c r="N9" i="3"/>
  <c r="N13" i="3" s="1"/>
  <c r="G9" i="3"/>
  <c r="G8" i="3"/>
  <c r="AA4" i="3"/>
  <c r="D15" i="1" l="1"/>
  <c r="D16" i="1"/>
  <c r="C13" i="1"/>
  <c r="C14" i="1"/>
  <c r="D17" i="1"/>
  <c r="D13" i="1"/>
  <c r="D14" i="1"/>
  <c r="D18" i="1"/>
  <c r="C17" i="1"/>
  <c r="C15" i="1"/>
  <c r="C18" i="1"/>
  <c r="C16" i="1"/>
  <c r="D30" i="1"/>
  <c r="C30" i="1"/>
  <c r="AC8" i="11"/>
  <c r="AC9" i="11" s="1"/>
  <c r="AC15" i="11"/>
  <c r="D35" i="11"/>
  <c r="D22" i="11"/>
  <c r="D23" i="11"/>
  <c r="D24" i="11"/>
  <c r="D25" i="11"/>
  <c r="D26" i="11"/>
  <c r="D27" i="11"/>
  <c r="D14" i="11"/>
  <c r="D17" i="11"/>
  <c r="R14" i="5"/>
  <c r="R13" i="5"/>
  <c r="R12" i="5"/>
  <c r="R11" i="5"/>
  <c r="R10" i="5"/>
  <c r="R9" i="5"/>
  <c r="C40" i="4"/>
  <c r="Z89" i="4"/>
  <c r="S51" i="4"/>
  <c r="C23" i="4"/>
  <c r="AB4" i="4"/>
  <c r="AA27" i="4"/>
  <c r="AA28" i="4"/>
  <c r="S47" i="3"/>
  <c r="S49" i="3" s="1"/>
  <c r="AB4" i="3"/>
  <c r="AA26" i="3"/>
  <c r="O30" i="3"/>
  <c r="R8" i="4"/>
  <c r="R9" i="4"/>
  <c r="R10" i="4"/>
  <c r="R12" i="4"/>
  <c r="R11" i="4"/>
  <c r="R7" i="4"/>
  <c r="O25" i="3"/>
  <c r="O21" i="3"/>
  <c r="R12" i="3"/>
  <c r="R9" i="3"/>
  <c r="R11" i="3"/>
  <c r="R8" i="3"/>
  <c r="R10" i="3"/>
  <c r="R7" i="3"/>
  <c r="AD19" i="12"/>
  <c r="BC19" i="12" s="1"/>
  <c r="H38" i="15"/>
  <c r="S15" i="12"/>
  <c r="T15" i="12" s="1"/>
  <c r="AD15" i="12" s="1"/>
  <c r="I81" i="15"/>
  <c r="G81" i="15"/>
  <c r="E81" i="15"/>
  <c r="J81" i="15"/>
  <c r="F81" i="15"/>
  <c r="C81" i="15"/>
  <c r="D81" i="15"/>
  <c r="J75" i="15"/>
  <c r="BB26" i="12"/>
  <c r="T6" i="12"/>
  <c r="AD6" i="12" s="1"/>
  <c r="T12" i="12"/>
  <c r="BA12" i="12" s="1"/>
  <c r="C73" i="15"/>
  <c r="J82" i="15"/>
  <c r="B90" i="15"/>
  <c r="BD21" i="12"/>
  <c r="I34" i="15"/>
  <c r="B46" i="15"/>
  <c r="AD23" i="12"/>
  <c r="AY23" i="12" s="1"/>
  <c r="BD16" i="12"/>
  <c r="E38" i="15"/>
  <c r="D46" i="15"/>
  <c r="H34" i="15"/>
  <c r="AD4" i="12"/>
  <c r="BC4" i="12" s="1"/>
  <c r="BB11" i="12"/>
  <c r="BB23" i="12"/>
  <c r="F38" i="15"/>
  <c r="D88" i="15"/>
  <c r="C90" i="15"/>
  <c r="B34" i="15"/>
  <c r="I46" i="15"/>
  <c r="E90" i="15"/>
  <c r="B87" i="15"/>
  <c r="D34" i="15"/>
  <c r="I74" i="15"/>
  <c r="D74" i="15"/>
  <c r="D75" i="15"/>
  <c r="AD3" i="12"/>
  <c r="BC3" i="12" s="1"/>
  <c r="G48" i="15"/>
  <c r="I88" i="15"/>
  <c r="B78" i="15"/>
  <c r="AD17" i="12"/>
  <c r="AY17" i="12" s="1"/>
  <c r="AD14" i="12"/>
  <c r="BC14" i="12" s="1"/>
  <c r="BB19" i="12"/>
  <c r="B42" i="15"/>
  <c r="F74" i="15"/>
  <c r="B82" i="15"/>
  <c r="B91" i="15"/>
  <c r="J78" i="15"/>
  <c r="AD21" i="12"/>
  <c r="AY21" i="12" s="1"/>
  <c r="BD22" i="12"/>
  <c r="BB3" i="12"/>
  <c r="BA22" i="12"/>
  <c r="E42" i="15"/>
  <c r="B44" i="15"/>
  <c r="H74" i="15"/>
  <c r="C82" i="15"/>
  <c r="B89" i="15"/>
  <c r="E91" i="15"/>
  <c r="B26" i="15"/>
  <c r="BD23" i="12"/>
  <c r="BB14" i="12"/>
  <c r="E44" i="15"/>
  <c r="F91" i="15"/>
  <c r="C19" i="15" a="1"/>
  <c r="C19" i="15" s="1"/>
  <c r="BB2" i="12"/>
  <c r="BB21" i="12"/>
  <c r="AD26" i="12"/>
  <c r="AY26" i="12" s="1"/>
  <c r="I40" i="15"/>
  <c r="H44" i="15"/>
  <c r="BD24" i="12"/>
  <c r="B86" i="15"/>
  <c r="AD11" i="12"/>
  <c r="BC11" i="12" s="1"/>
  <c r="BA11" i="12"/>
  <c r="BD20" i="12"/>
  <c r="BD26" i="12"/>
  <c r="G38" i="15"/>
  <c r="C40" i="15"/>
  <c r="G44" i="15"/>
  <c r="C46" i="15"/>
  <c r="H48" i="15"/>
  <c r="D78" i="15"/>
  <c r="D82" i="15"/>
  <c r="G83" i="15"/>
  <c r="J84" i="15"/>
  <c r="D86" i="15"/>
  <c r="D90" i="15"/>
  <c r="G91" i="15"/>
  <c r="I39" i="15"/>
  <c r="E83" i="15"/>
  <c r="B40" i="15"/>
  <c r="D40" i="15"/>
  <c r="E78" i="15"/>
  <c r="BD18" i="12"/>
  <c r="BB15" i="12"/>
  <c r="BB16" i="12"/>
  <c r="BC22" i="12"/>
  <c r="I38" i="15"/>
  <c r="F78" i="15"/>
  <c r="F82" i="15"/>
  <c r="I83" i="15"/>
  <c r="I87" i="15"/>
  <c r="C89" i="15"/>
  <c r="F90" i="15"/>
  <c r="I91" i="15"/>
  <c r="C86" i="15"/>
  <c r="BB17" i="12"/>
  <c r="BA19" i="12"/>
  <c r="G78" i="15"/>
  <c r="G82" i="15"/>
  <c r="J83" i="15"/>
  <c r="D89" i="15"/>
  <c r="G90" i="15"/>
  <c r="E39" i="15"/>
  <c r="BD17" i="12"/>
  <c r="C78" i="15"/>
  <c r="F83" i="15"/>
  <c r="BD25" i="12"/>
  <c r="C39" i="15"/>
  <c r="G40" i="15"/>
  <c r="C42" i="15"/>
  <c r="B84" i="15"/>
  <c r="D39" i="15"/>
  <c r="H40" i="15"/>
  <c r="D42" i="15"/>
  <c r="I78" i="15"/>
  <c r="C84" i="15"/>
  <c r="E84" i="15"/>
  <c r="C38" i="15"/>
  <c r="C44" i="15"/>
  <c r="C48" i="15"/>
  <c r="C83" i="15"/>
  <c r="F84" i="15"/>
  <c r="C87" i="15"/>
  <c r="C91" i="15"/>
  <c r="AD16" i="12"/>
  <c r="F39" i="15"/>
  <c r="B83" i="15"/>
  <c r="D48" i="15"/>
  <c r="R13" i="15"/>
  <c r="C20" i="15" a="1"/>
  <c r="C20" i="15" s="1"/>
  <c r="B30" i="15"/>
  <c r="I30" i="15"/>
  <c r="F30" i="15"/>
  <c r="G30" i="15"/>
  <c r="F71" i="15"/>
  <c r="E71" i="15"/>
  <c r="D71" i="15"/>
  <c r="C71" i="15"/>
  <c r="B71" i="15"/>
  <c r="J71" i="15"/>
  <c r="H71" i="15"/>
  <c r="AD7" i="12"/>
  <c r="I69" i="15"/>
  <c r="H69" i="15"/>
  <c r="E69" i="15"/>
  <c r="G69" i="15"/>
  <c r="F69" i="15"/>
  <c r="D69" i="15"/>
  <c r="B69" i="15"/>
  <c r="D70" i="15"/>
  <c r="C70" i="15"/>
  <c r="B70" i="15"/>
  <c r="H70" i="15"/>
  <c r="J70" i="15"/>
  <c r="J106" i="15" s="1"/>
  <c r="I70" i="15"/>
  <c r="E70" i="15"/>
  <c r="I68" i="15"/>
  <c r="H68" i="15"/>
  <c r="H106" i="15" s="1"/>
  <c r="G68" i="15"/>
  <c r="F68" i="15"/>
  <c r="F106" i="15" s="1"/>
  <c r="E68" i="15"/>
  <c r="B68" i="15"/>
  <c r="D68" i="15"/>
  <c r="C68" i="15"/>
  <c r="BD3" i="12"/>
  <c r="BD4" i="12"/>
  <c r="C18" i="15" a="1"/>
  <c r="C18" i="15" s="1"/>
  <c r="B28" i="15"/>
  <c r="BB5" i="12"/>
  <c r="J76" i="15"/>
  <c r="G76" i="15"/>
  <c r="F76" i="15"/>
  <c r="E76" i="15"/>
  <c r="B76" i="15"/>
  <c r="D76" i="15"/>
  <c r="C76" i="15"/>
  <c r="I71" i="15"/>
  <c r="BD5" i="12"/>
  <c r="AY3" i="12"/>
  <c r="R12" i="15"/>
  <c r="B27" i="15"/>
  <c r="BB4" i="12"/>
  <c r="E27" i="15"/>
  <c r="J72" i="15"/>
  <c r="I72" i="15"/>
  <c r="G72" i="15"/>
  <c r="F72" i="15"/>
  <c r="E72" i="15"/>
  <c r="BD6" i="12"/>
  <c r="B72" i="15"/>
  <c r="D72" i="15"/>
  <c r="C72" i="15"/>
  <c r="R14" i="15"/>
  <c r="G25" i="15"/>
  <c r="B73" i="15"/>
  <c r="E74" i="15"/>
  <c r="H75" i="15"/>
  <c r="D73" i="15"/>
  <c r="G74" i="15"/>
  <c r="C26" i="15"/>
  <c r="F73" i="15"/>
  <c r="D26" i="15"/>
  <c r="G73" i="15"/>
  <c r="BD7" i="12"/>
  <c r="BD9" i="12"/>
  <c r="BD8" i="12"/>
  <c r="E26" i="15"/>
  <c r="B75" i="15"/>
  <c r="B25" i="15"/>
  <c r="C75" i="15"/>
  <c r="AD2" i="12"/>
  <c r="C25" i="15"/>
  <c r="D25" i="15"/>
  <c r="B74" i="15"/>
  <c r="E75" i="15"/>
  <c r="F75" i="15"/>
  <c r="BB25" i="12"/>
  <c r="E48" i="15"/>
  <c r="AD25" i="12"/>
  <c r="BI25" i="12" s="1"/>
  <c r="I48" i="15"/>
  <c r="G47" i="15"/>
  <c r="E47" i="15"/>
  <c r="H47" i="15"/>
  <c r="AD24" i="12"/>
  <c r="C47" i="15"/>
  <c r="I47" i="15"/>
  <c r="B47" i="15"/>
  <c r="D47" i="15"/>
  <c r="AD10" i="12"/>
  <c r="BC10" i="12" s="1"/>
  <c r="G33" i="15"/>
  <c r="F33" i="15"/>
  <c r="D33" i="15"/>
  <c r="C33" i="15"/>
  <c r="B33" i="15"/>
  <c r="BB10" i="12"/>
  <c r="H33" i="15"/>
  <c r="I33" i="15"/>
  <c r="AD9" i="12"/>
  <c r="BA9" i="12"/>
  <c r="BC20" i="12"/>
  <c r="AY20" i="12"/>
  <c r="BA20" i="12"/>
  <c r="BB9" i="12"/>
  <c r="B32" i="15"/>
  <c r="F32" i="15"/>
  <c r="H32" i="15"/>
  <c r="I32" i="15"/>
  <c r="B30" i="1"/>
  <c r="E12" i="1"/>
  <c r="Y17" i="11"/>
  <c r="Y19" i="11" s="1"/>
  <c r="Y36" i="11" s="1"/>
  <c r="Y41" i="11" s="1"/>
  <c r="Y46" i="11" s="1"/>
  <c r="O11" i="4"/>
  <c r="O12" i="4"/>
  <c r="O13" i="4"/>
  <c r="O8" i="4"/>
  <c r="B18" i="1"/>
  <c r="B17" i="1"/>
  <c r="B16" i="1"/>
  <c r="B14" i="1"/>
  <c r="B15" i="1"/>
  <c r="O13" i="3"/>
  <c r="O12" i="3"/>
  <c r="O11" i="3"/>
  <c r="O10" i="3"/>
  <c r="O9" i="3"/>
  <c r="B13" i="1"/>
  <c r="O16" i="3"/>
  <c r="O18" i="3"/>
  <c r="O19" i="3"/>
  <c r="O17" i="3"/>
  <c r="O14" i="3"/>
  <c r="AW17" i="11"/>
  <c r="AW19" i="11" s="1"/>
  <c r="AW25" i="11" s="1"/>
  <c r="AN70" i="11"/>
  <c r="AG17" i="11"/>
  <c r="AG19" i="11" s="1"/>
  <c r="AG36" i="11" s="1"/>
  <c r="AG41" i="11" s="1"/>
  <c r="AG45" i="11" s="1"/>
  <c r="AO50" i="11"/>
  <c r="AO51" i="11" s="1"/>
  <c r="U15" i="11"/>
  <c r="U17" i="11" s="1"/>
  <c r="U19" i="11" s="1"/>
  <c r="U33" i="11"/>
  <c r="U5" i="11"/>
  <c r="U11" i="11"/>
  <c r="Y79" i="11"/>
  <c r="AP17" i="11"/>
  <c r="AP19" i="11" s="1"/>
  <c r="AP36" i="11" s="1"/>
  <c r="AP41" i="11" s="1"/>
  <c r="AP43" i="11" s="1"/>
  <c r="AA79" i="11"/>
  <c r="AA34" i="11"/>
  <c r="AW37" i="11"/>
  <c r="AI17" i="11"/>
  <c r="AI19" i="11" s="1"/>
  <c r="AI25" i="11" s="1"/>
  <c r="V17" i="11"/>
  <c r="V19" i="11" s="1"/>
  <c r="V36" i="11" s="1"/>
  <c r="V41" i="11" s="1"/>
  <c r="V44" i="11" s="1"/>
  <c r="W17" i="11"/>
  <c r="W19" i="11" s="1"/>
  <c r="AE70" i="11"/>
  <c r="AX17" i="11"/>
  <c r="AX19" i="11" s="1"/>
  <c r="AX25" i="11" s="1"/>
  <c r="AH8" i="11"/>
  <c r="AH9" i="11" s="1"/>
  <c r="AK17" i="11"/>
  <c r="AK19" i="11" s="1"/>
  <c r="AU17" i="11"/>
  <c r="AU19" i="11" s="1"/>
  <c r="AR17" i="11"/>
  <c r="AR19" i="11" s="1"/>
  <c r="AM17" i="11"/>
  <c r="AM19" i="11" s="1"/>
  <c r="AD17" i="11"/>
  <c r="AD19" i="11" s="1"/>
  <c r="AX37" i="11"/>
  <c r="AN15" i="11"/>
  <c r="AI70" i="11"/>
  <c r="X17" i="11"/>
  <c r="X19" i="11" s="1"/>
  <c r="AD70" i="11"/>
  <c r="AF70" i="11"/>
  <c r="Y37" i="11"/>
  <c r="AH51" i="11"/>
  <c r="AL17" i="11"/>
  <c r="AL19" i="11" s="1"/>
  <c r="AL36" i="11" s="1"/>
  <c r="AL41" i="11" s="1"/>
  <c r="AL43" i="11" s="1"/>
  <c r="AN8" i="11"/>
  <c r="AN9" i="11" s="1"/>
  <c r="AJ17" i="11"/>
  <c r="AJ19" i="11" s="1"/>
  <c r="AJ25" i="11" s="1"/>
  <c r="AJ26" i="11" s="1"/>
  <c r="AH52" i="11"/>
  <c r="AT15" i="11"/>
  <c r="AT17" i="11" s="1"/>
  <c r="AT19" i="11" s="1"/>
  <c r="AH53" i="11"/>
  <c r="AK37" i="11"/>
  <c r="AK70" i="11"/>
  <c r="AH55" i="11"/>
  <c r="AH54" i="11"/>
  <c r="AA17" i="11"/>
  <c r="AA19" i="11" s="1"/>
  <c r="AA36" i="11" s="1"/>
  <c r="AA41" i="11" s="1"/>
  <c r="AA44" i="11" s="1"/>
  <c r="AO17" i="11"/>
  <c r="AO19" i="11" s="1"/>
  <c r="J72" i="11"/>
  <c r="U70" i="11"/>
  <c r="P8" i="11" a="1"/>
  <c r="P8" i="11" s="1"/>
  <c r="P38" i="11" s="1"/>
  <c r="C46" i="11" s="1"/>
  <c r="D46" i="11" s="1"/>
  <c r="U37" i="11"/>
  <c r="AU50" i="11"/>
  <c r="AU79" i="11"/>
  <c r="AU34" i="11"/>
  <c r="AG70" i="11"/>
  <c r="AG37" i="11"/>
  <c r="Z17" i="11"/>
  <c r="Z19" i="11" s="1"/>
  <c r="AD34" i="11"/>
  <c r="AD50" i="11"/>
  <c r="AD79" i="11"/>
  <c r="AC70" i="11"/>
  <c r="AC37" i="11"/>
  <c r="J44" i="11"/>
  <c r="J76" i="11"/>
  <c r="J75" i="11"/>
  <c r="J74" i="11"/>
  <c r="J69" i="11"/>
  <c r="J77" i="11"/>
  <c r="J51" i="11"/>
  <c r="J83" i="11"/>
  <c r="J84" i="11" s="1"/>
  <c r="J60" i="11"/>
  <c r="I50" i="11"/>
  <c r="J43" i="11"/>
  <c r="J49" i="11"/>
  <c r="I72" i="11"/>
  <c r="J70" i="11"/>
  <c r="J59" i="11"/>
  <c r="J64" i="11"/>
  <c r="J71" i="11"/>
  <c r="J66" i="11"/>
  <c r="J79" i="11"/>
  <c r="J58" i="11"/>
  <c r="J63" i="11"/>
  <c r="J65" i="11"/>
  <c r="V53" i="11"/>
  <c r="V54" i="11"/>
  <c r="V56" i="11"/>
  <c r="V55" i="11"/>
  <c r="V51" i="11"/>
  <c r="V52" i="11"/>
  <c r="AM70" i="11"/>
  <c r="AM37" i="11"/>
  <c r="AF79" i="11"/>
  <c r="AF34" i="11"/>
  <c r="AF50" i="11"/>
  <c r="Z50" i="11"/>
  <c r="Z79" i="11"/>
  <c r="Z34" i="11"/>
  <c r="AT37" i="11"/>
  <c r="AT70" i="11"/>
  <c r="W37" i="11"/>
  <c r="W70" i="11"/>
  <c r="AO37" i="11"/>
  <c r="AO70" i="11"/>
  <c r="AR70" i="11"/>
  <c r="AR37" i="11"/>
  <c r="AQ17" i="11"/>
  <c r="AQ19" i="11" s="1"/>
  <c r="Y54" i="11"/>
  <c r="Y53" i="11"/>
  <c r="Y51" i="11"/>
  <c r="Y52" i="11"/>
  <c r="Y56" i="11"/>
  <c r="Y55" i="11"/>
  <c r="AN50" i="11"/>
  <c r="AN34" i="11"/>
  <c r="AN79" i="11"/>
  <c r="X70" i="11"/>
  <c r="X37" i="11"/>
  <c r="AS17" i="11"/>
  <c r="AS19" i="11" s="1"/>
  <c r="AA70" i="11"/>
  <c r="AA37" i="11"/>
  <c r="AB34" i="11"/>
  <c r="AB79" i="11"/>
  <c r="AB50" i="11"/>
  <c r="AB17" i="11"/>
  <c r="AB19" i="11" s="1"/>
  <c r="AX53" i="11"/>
  <c r="AX52" i="11"/>
  <c r="AX55" i="11"/>
  <c r="AX54" i="11"/>
  <c r="AX56" i="11"/>
  <c r="AX51" i="11"/>
  <c r="AL70" i="11"/>
  <c r="AL37" i="11"/>
  <c r="AE50" i="11"/>
  <c r="AE34" i="11"/>
  <c r="AE79" i="11"/>
  <c r="V37" i="11"/>
  <c r="V70" i="11"/>
  <c r="AJ70" i="11"/>
  <c r="AJ37" i="11"/>
  <c r="AK79" i="11"/>
  <c r="AK50" i="11"/>
  <c r="AK34" i="11"/>
  <c r="W79" i="11"/>
  <c r="W50" i="11"/>
  <c r="W34" i="11"/>
  <c r="Z70" i="11"/>
  <c r="Z37" i="11"/>
  <c r="AV34" i="11"/>
  <c r="AV79" i="11"/>
  <c r="AV50" i="11"/>
  <c r="AT50" i="11"/>
  <c r="AT34" i="11"/>
  <c r="AT79" i="11" s="1"/>
  <c r="AS70" i="11"/>
  <c r="AS37" i="11"/>
  <c r="AI34" i="11"/>
  <c r="AI79" i="11"/>
  <c r="AI50" i="11"/>
  <c r="AB70" i="11"/>
  <c r="AB37" i="11"/>
  <c r="AU37" i="11"/>
  <c r="AU70" i="11"/>
  <c r="AA52" i="11"/>
  <c r="AA55" i="11"/>
  <c r="AA56" i="11"/>
  <c r="AA51" i="11"/>
  <c r="AA54" i="11"/>
  <c r="AA53" i="11"/>
  <c r="AG79" i="11"/>
  <c r="AG50" i="11"/>
  <c r="AG34" i="11"/>
  <c r="AQ70" i="11"/>
  <c r="AQ37" i="11"/>
  <c r="AH15" i="11"/>
  <c r="AW34" i="11"/>
  <c r="AW50" i="11"/>
  <c r="AW79" i="11"/>
  <c r="AE17" i="11"/>
  <c r="AE19" i="11" s="1"/>
  <c r="AV70" i="11"/>
  <c r="AV37" i="11"/>
  <c r="AF17" i="11"/>
  <c r="AF19" i="11" s="1"/>
  <c r="AP70" i="11"/>
  <c r="AP37" i="11"/>
  <c r="AP50" i="11"/>
  <c r="AP34" i="11"/>
  <c r="AP79" i="11"/>
  <c r="AC34" i="11"/>
  <c r="AC79" i="11"/>
  <c r="AC50" i="11"/>
  <c r="AS55" i="11"/>
  <c r="AS56" i="11"/>
  <c r="AS51" i="11"/>
  <c r="AS54" i="11"/>
  <c r="AS53" i="11"/>
  <c r="AS52" i="11"/>
  <c r="AL56" i="11"/>
  <c r="AL52" i="11"/>
  <c r="AL53" i="11"/>
  <c r="AL51" i="11"/>
  <c r="AL54" i="11"/>
  <c r="AL55" i="11"/>
  <c r="AJ79" i="11"/>
  <c r="AJ50" i="11"/>
  <c r="AJ34" i="11"/>
  <c r="X79" i="11"/>
  <c r="X50" i="11"/>
  <c r="X34" i="11"/>
  <c r="AR51" i="11"/>
  <c r="AR53" i="11"/>
  <c r="AR55" i="11"/>
  <c r="AR54" i="11"/>
  <c r="AR56" i="11"/>
  <c r="AR52" i="11"/>
  <c r="AM50" i="11"/>
  <c r="AM79" i="11"/>
  <c r="AM34" i="11"/>
  <c r="U34" i="11"/>
  <c r="U79" i="11"/>
  <c r="U50" i="11"/>
  <c r="AV17" i="11"/>
  <c r="AV19" i="11" s="1"/>
  <c r="AH37" i="11"/>
  <c r="AH70" i="11"/>
  <c r="AQ34" i="11"/>
  <c r="AQ79" i="11"/>
  <c r="AQ50" i="11"/>
  <c r="N25" i="3"/>
  <c r="N11" i="3"/>
  <c r="N17" i="3"/>
  <c r="N37" i="3"/>
  <c r="N31" i="3"/>
  <c r="S85" i="4"/>
  <c r="S88" i="4" s="1"/>
  <c r="AU110" i="4" s="1"/>
  <c r="N37" i="4"/>
  <c r="AP19" i="5"/>
  <c r="AX24" i="5"/>
  <c r="AQ13" i="5"/>
  <c r="AB11" i="5"/>
  <c r="AL34" i="5"/>
  <c r="AL35" i="5" s="1"/>
  <c r="AJ34" i="5"/>
  <c r="AJ35" i="5" s="1"/>
  <c r="AK34" i="5"/>
  <c r="AK35" i="5" s="1"/>
  <c r="AM34" i="5"/>
  <c r="AM35" i="5" s="1"/>
  <c r="AZ8" i="5"/>
  <c r="AZ9" i="5" s="1"/>
  <c r="AE19" i="5"/>
  <c r="X34" i="5"/>
  <c r="X35" i="5" s="1"/>
  <c r="Y34" i="5"/>
  <c r="Y35" i="5" s="1"/>
  <c r="AB34" i="5"/>
  <c r="AB35" i="5" s="1"/>
  <c r="AE34" i="5"/>
  <c r="AE35" i="5" s="1"/>
  <c r="AW34" i="5"/>
  <c r="AW35" i="5" s="1"/>
  <c r="AP34" i="5"/>
  <c r="AP35" i="5" s="1"/>
  <c r="W4" i="5"/>
  <c r="W34" i="5" s="1"/>
  <c r="W35" i="5" s="1"/>
  <c r="AQ34" i="5"/>
  <c r="AQ35" i="5" s="1"/>
  <c r="N29" i="5"/>
  <c r="AS8" i="5"/>
  <c r="AS9" i="5" s="1"/>
  <c r="Y19" i="5"/>
  <c r="AT19" i="5"/>
  <c r="AV34" i="5"/>
  <c r="AV35" i="5" s="1"/>
  <c r="Z7" i="5"/>
  <c r="AF34" i="5"/>
  <c r="AF35" i="5" s="1"/>
  <c r="AX34" i="5"/>
  <c r="AX35" i="5" s="1"/>
  <c r="AR22" i="5"/>
  <c r="AR38" i="5" s="1"/>
  <c r="AR34" i="5"/>
  <c r="AR35" i="5" s="1"/>
  <c r="AC34" i="5"/>
  <c r="AC35" i="5" s="1"/>
  <c r="AT34" i="5"/>
  <c r="AT35" i="5" s="1"/>
  <c r="N11" i="5"/>
  <c r="AH34" i="5"/>
  <c r="AH35" i="5" s="1"/>
  <c r="AY34" i="5"/>
  <c r="AY35" i="5" s="1"/>
  <c r="AS34" i="5"/>
  <c r="AS35" i="5" s="1"/>
  <c r="AD34" i="5"/>
  <c r="AD35" i="5" s="1"/>
  <c r="AA12" i="5"/>
  <c r="AA16" i="5" s="1"/>
  <c r="AO13" i="5"/>
  <c r="AW8" i="5"/>
  <c r="AW9" i="5" s="1"/>
  <c r="AI34" i="5"/>
  <c r="AI35" i="5" s="1"/>
  <c r="AZ34" i="5"/>
  <c r="AZ35" i="5" s="1"/>
  <c r="N35" i="5"/>
  <c r="AF22" i="5"/>
  <c r="AF38" i="5" s="1"/>
  <c r="AL11" i="5"/>
  <c r="AY15" i="5"/>
  <c r="AG34" i="5"/>
  <c r="AG35" i="5" s="1"/>
  <c r="AU34" i="5"/>
  <c r="AU35" i="5" s="1"/>
  <c r="N23" i="5"/>
  <c r="N19" i="5"/>
  <c r="AU19" i="5"/>
  <c r="Z34" i="5"/>
  <c r="Z35" i="5" s="1"/>
  <c r="AN34" i="5"/>
  <c r="AN35" i="5" s="1"/>
  <c r="AC8" i="5"/>
  <c r="AC9" i="5" s="1"/>
  <c r="AJ24" i="5"/>
  <c r="AV11" i="5"/>
  <c r="AA34" i="5"/>
  <c r="AA35" i="5" s="1"/>
  <c r="AA111" i="4"/>
  <c r="N31" i="4"/>
  <c r="N25" i="4"/>
  <c r="N19" i="4"/>
  <c r="BC111" i="4"/>
  <c r="AY111" i="4"/>
  <c r="BA111" i="4"/>
  <c r="AM111" i="4"/>
  <c r="AK111" i="4"/>
  <c r="AF111" i="4"/>
  <c r="AW111" i="4"/>
  <c r="AV111" i="4"/>
  <c r="AG111" i="4"/>
  <c r="AS111" i="4"/>
  <c r="AE111" i="4"/>
  <c r="AD111" i="4"/>
  <c r="AJ111" i="4"/>
  <c r="AQ111" i="4"/>
  <c r="BB111" i="4"/>
  <c r="BD111" i="4"/>
  <c r="AP111" i="4"/>
  <c r="BC110" i="4"/>
  <c r="AW110" i="4"/>
  <c r="AM110" i="4"/>
  <c r="BA110" i="4"/>
  <c r="AL110" i="4"/>
  <c r="AF110" i="4"/>
  <c r="AY110" i="4"/>
  <c r="AK110" i="4"/>
  <c r="AX110" i="4"/>
  <c r="AJ110" i="4"/>
  <c r="AG110" i="4"/>
  <c r="AS110" i="4"/>
  <c r="AE110" i="4"/>
  <c r="AR110" i="4"/>
  <c r="AD110" i="4"/>
  <c r="BB110" i="4"/>
  <c r="AQ110" i="4"/>
  <c r="AV110" i="4"/>
  <c r="BD110" i="4"/>
  <c r="AP110" i="4"/>
  <c r="AA110" i="4"/>
  <c r="BC107" i="4"/>
  <c r="AW107" i="4"/>
  <c r="BA107" i="4"/>
  <c r="AV107" i="4"/>
  <c r="AM107" i="4"/>
  <c r="AG107" i="4"/>
  <c r="AY107" i="4"/>
  <c r="AK107" i="4"/>
  <c r="AJ107" i="4"/>
  <c r="AF107" i="4"/>
  <c r="BB107" i="4"/>
  <c r="AS107" i="4"/>
  <c r="AE107" i="4"/>
  <c r="AD107" i="4"/>
  <c r="AQ107" i="4"/>
  <c r="BD107" i="4"/>
  <c r="AP107" i="4"/>
  <c r="AA107" i="4"/>
  <c r="BC106" i="4"/>
  <c r="AW106" i="4"/>
  <c r="AV106" i="4"/>
  <c r="AF106" i="4"/>
  <c r="BA106" i="4"/>
  <c r="AM106" i="4"/>
  <c r="AG106" i="4"/>
  <c r="BB106" i="4"/>
  <c r="AY106" i="4"/>
  <c r="AK106" i="4"/>
  <c r="AJ106" i="4"/>
  <c r="AS106" i="4"/>
  <c r="AD106" i="4"/>
  <c r="AE106" i="4"/>
  <c r="AQ106" i="4"/>
  <c r="BD106" i="4"/>
  <c r="AP106" i="4"/>
  <c r="AA106" i="4"/>
  <c r="BD101" i="4"/>
  <c r="AR105" i="4"/>
  <c r="AE99" i="4"/>
  <c r="N11" i="4"/>
  <c r="BC99" i="4"/>
  <c r="AG100" i="4"/>
  <c r="AL101" i="4"/>
  <c r="AQ22" i="5"/>
  <c r="AQ71" i="5" s="1"/>
  <c r="AI12" i="5"/>
  <c r="AI7" i="5"/>
  <c r="AI5" i="5"/>
  <c r="AI8" i="5"/>
  <c r="AI9" i="5" s="1"/>
  <c r="AV100" i="4"/>
  <c r="AI11" i="5"/>
  <c r="AR11" i="5"/>
  <c r="C25" i="3"/>
  <c r="AI14" i="5"/>
  <c r="AW99" i="4"/>
  <c r="AR14" i="5"/>
  <c r="AO11" i="5"/>
  <c r="AO6" i="5"/>
  <c r="AO7" i="5"/>
  <c r="AO8" i="5"/>
  <c r="AO9" i="5" s="1"/>
  <c r="BB105" i="4"/>
  <c r="AR5" i="5"/>
  <c r="AR12" i="5"/>
  <c r="AR15" i="5"/>
  <c r="AR24" i="5"/>
  <c r="AY24" i="5"/>
  <c r="AY5" i="5"/>
  <c r="AC13" i="5"/>
  <c r="AW6" i="5"/>
  <c r="Y11" i="5"/>
  <c r="AD13" i="5"/>
  <c r="AF5" i="5"/>
  <c r="X15" i="5"/>
  <c r="AX5" i="5"/>
  <c r="AX12" i="5"/>
  <c r="AF102" i="4"/>
  <c r="AF103" i="4" s="1"/>
  <c r="AI16" i="5"/>
  <c r="AR6" i="5"/>
  <c r="AL16" i="5"/>
  <c r="AY6" i="5"/>
  <c r="AA11" i="5"/>
  <c r="AI13" i="5"/>
  <c r="AY16" i="5"/>
  <c r="AG8" i="5"/>
  <c r="AG9" i="5" s="1"/>
  <c r="AM105" i="4"/>
  <c r="AB7" i="5"/>
  <c r="AE101" i="4"/>
  <c r="AG5" i="5"/>
  <c r="AZ14" i="5"/>
  <c r="AQ101" i="4"/>
  <c r="AQ7" i="5"/>
  <c r="X24" i="5"/>
  <c r="AP7" i="5"/>
  <c r="AB12" i="5"/>
  <c r="BC101" i="4"/>
  <c r="AU5" i="5"/>
  <c r="AU7" i="5"/>
  <c r="AB24" i="5"/>
  <c r="AG15" i="5"/>
  <c r="AG11" i="5"/>
  <c r="AB22" i="5"/>
  <c r="AB38" i="5" s="1"/>
  <c r="AX15" i="5"/>
  <c r="AX22" i="5"/>
  <c r="AX71" i="5" s="1"/>
  <c r="BA100" i="4"/>
  <c r="X7" i="5"/>
  <c r="AP11" i="5"/>
  <c r="AX13" i="5"/>
  <c r="X19" i="5"/>
  <c r="AW100" i="4"/>
  <c r="BC100" i="4"/>
  <c r="AJ105" i="4"/>
  <c r="Y5" i="5"/>
  <c r="AA7" i="5"/>
  <c r="AA8" i="5" s="1"/>
  <c r="AA9" i="5" s="1"/>
  <c r="AG16" i="5"/>
  <c r="AG19" i="5"/>
  <c r="AS99" i="4"/>
  <c r="AK101" i="4"/>
  <c r="AO15" i="5"/>
  <c r="AO24" i="5"/>
  <c r="AK6" i="5"/>
  <c r="AO101" i="4"/>
  <c r="AT6" i="5"/>
  <c r="Y8" i="5"/>
  <c r="Y9" i="5" s="1"/>
  <c r="AO14" i="5"/>
  <c r="AZ22" i="5"/>
  <c r="AZ71" i="5" s="1"/>
  <c r="AX105" i="4"/>
  <c r="AE100" i="4"/>
  <c r="BB101" i="4"/>
  <c r="AK105" i="4"/>
  <c r="AT14" i="5"/>
  <c r="AA100" i="4"/>
  <c r="AU11" i="5"/>
  <c r="AU15" i="5"/>
  <c r="AU100" i="4"/>
  <c r="X13" i="5"/>
  <c r="AU14" i="5"/>
  <c r="AN8" i="5"/>
  <c r="AN9" i="5" s="1"/>
  <c r="AZ13" i="5"/>
  <c r="BB102" i="4"/>
  <c r="BB103" i="4" s="1"/>
  <c r="AD6" i="5"/>
  <c r="AU8" i="5"/>
  <c r="AU9" i="5" s="1"/>
  <c r="AK11" i="5"/>
  <c r="AM12" i="5"/>
  <c r="AM16" i="5"/>
  <c r="AK22" i="5"/>
  <c r="AK71" i="5" s="1"/>
  <c r="AC24" i="5"/>
  <c r="AD12" i="5"/>
  <c r="AK12" i="5"/>
  <c r="AA99" i="4"/>
  <c r="AA101" i="4"/>
  <c r="BC102" i="4"/>
  <c r="BC103" i="4" s="1"/>
  <c r="AI6" i="5"/>
  <c r="AR7" i="5"/>
  <c r="AM11" i="5"/>
  <c r="AO12" i="5"/>
  <c r="AI15" i="5"/>
  <c r="AO16" i="5"/>
  <c r="AI19" i="5"/>
  <c r="AN22" i="5"/>
  <c r="AN38" i="5" s="1"/>
  <c r="AF24" i="5"/>
  <c r="AN11" i="5"/>
  <c r="AP12" i="5"/>
  <c r="Y14" i="5"/>
  <c r="AK15" i="5"/>
  <c r="AL19" i="5"/>
  <c r="AG24" i="5"/>
  <c r="AD14" i="5"/>
  <c r="AM15" i="5"/>
  <c r="AW16" i="5"/>
  <c r="AR19" i="5"/>
  <c r="AI24" i="5"/>
  <c r="AY105" i="4"/>
  <c r="AN101" i="4"/>
  <c r="AL102" i="4"/>
  <c r="AL103" i="4" s="1"/>
  <c r="S66" i="4"/>
  <c r="AM44" i="4" s="1"/>
  <c r="AM91" i="4" s="1"/>
  <c r="AZ105" i="4"/>
  <c r="AY99" i="4"/>
  <c r="AY100" i="4"/>
  <c r="AQ102" i="4"/>
  <c r="AQ103" i="4" s="1"/>
  <c r="AT5" i="5"/>
  <c r="AT13" i="5"/>
  <c r="AJ12" i="5"/>
  <c r="AB100" i="4"/>
  <c r="AZ101" i="4"/>
  <c r="BA102" i="4"/>
  <c r="BA103" i="4" s="1"/>
  <c r="AI105" i="4"/>
  <c r="AT7" i="5"/>
  <c r="Y13" i="5"/>
  <c r="AD24" i="5"/>
  <c r="AU101" i="4"/>
  <c r="AN15" i="5"/>
  <c r="BA101" i="4"/>
  <c r="Z13" i="5"/>
  <c r="AT16" i="5"/>
  <c r="AD19" i="5"/>
  <c r="AT22" i="5"/>
  <c r="AT71" i="5" s="1"/>
  <c r="C23" i="5"/>
  <c r="AC5" i="5"/>
  <c r="Y6" i="5"/>
  <c r="Y7" i="5"/>
  <c r="AT8" i="5"/>
  <c r="AT9" i="5" s="1"/>
  <c r="X11" i="5"/>
  <c r="AT11" i="5"/>
  <c r="AN12" i="5"/>
  <c r="AA13" i="5"/>
  <c r="X14" i="5"/>
  <c r="AT15" i="5"/>
  <c r="AU16" i="5"/>
  <c r="AW22" i="5"/>
  <c r="AF105" i="4"/>
  <c r="BD102" i="4"/>
  <c r="BD103" i="4" s="1"/>
  <c r="AH100" i="4"/>
  <c r="AQ105" i="4"/>
  <c r="AY102" i="4"/>
  <c r="AY103" i="4" s="1"/>
  <c r="AF99" i="4"/>
  <c r="AJ100" i="4"/>
  <c r="AF101" i="4"/>
  <c r="AS105" i="4"/>
  <c r="AD7" i="5"/>
  <c r="Z8" i="5"/>
  <c r="Z9" i="5" s="1"/>
  <c r="AQ12" i="5"/>
  <c r="AF13" i="5"/>
  <c r="Y15" i="5"/>
  <c r="AN19" i="5"/>
  <c r="Y22" i="5"/>
  <c r="AF100" i="4"/>
  <c r="AB101" i="4"/>
  <c r="Z6" i="5"/>
  <c r="AJ99" i="4"/>
  <c r="AQ100" i="4"/>
  <c r="AH101" i="4"/>
  <c r="AT105" i="4"/>
  <c r="AD11" i="5"/>
  <c r="AJ14" i="5"/>
  <c r="Z15" i="5"/>
  <c r="AT24" i="5"/>
  <c r="AT100" i="4"/>
  <c r="AI101" i="4"/>
  <c r="AA102" i="4"/>
  <c r="AA103" i="4" s="1"/>
  <c r="AU105" i="4"/>
  <c r="AM6" i="5"/>
  <c r="AL7" i="5"/>
  <c r="AT12" i="5"/>
  <c r="AK13" i="5"/>
  <c r="AL14" i="5"/>
  <c r="AD15" i="5"/>
  <c r="AD22" i="5"/>
  <c r="AD38" i="5" s="1"/>
  <c r="AU24" i="5"/>
  <c r="AM5" i="5"/>
  <c r="AN6" i="5"/>
  <c r="AM7" i="5"/>
  <c r="AF8" i="5"/>
  <c r="AF9" i="5" s="1"/>
  <c r="Y12" i="5"/>
  <c r="AU12" i="5"/>
  <c r="AM13" i="5"/>
  <c r="AM14" i="5"/>
  <c r="AE22" i="5"/>
  <c r="AN5" i="5"/>
  <c r="AN7" i="5"/>
  <c r="AN13" i="5"/>
  <c r="AQ6" i="5"/>
  <c r="AQ14" i="5"/>
  <c r="AJ15" i="5"/>
  <c r="AI22" i="5"/>
  <c r="AI38" i="5" s="1"/>
  <c r="AC101" i="4"/>
  <c r="AC105" i="4"/>
  <c r="AC100" i="4"/>
  <c r="AD102" i="4"/>
  <c r="AD103" i="4" s="1"/>
  <c r="AD105" i="4"/>
  <c r="AD100" i="4"/>
  <c r="AD101" i="4"/>
  <c r="AD99" i="4"/>
  <c r="C42" i="3"/>
  <c r="Z112" i="3" s="1"/>
  <c r="S62" i="3"/>
  <c r="AA41" i="3" s="1"/>
  <c r="AA114" i="3" s="1"/>
  <c r="AP100" i="4"/>
  <c r="AP105" i="4"/>
  <c r="AP101" i="4"/>
  <c r="AP99" i="4"/>
  <c r="C24" i="4"/>
  <c r="AK100" i="4"/>
  <c r="AK99" i="4"/>
  <c r="BD99" i="4"/>
  <c r="AH15" i="5"/>
  <c r="AH7" i="5"/>
  <c r="AH8" i="5" s="1"/>
  <c r="AH9" i="5" s="1"/>
  <c r="AH13" i="5"/>
  <c r="AH11" i="5"/>
  <c r="AH14" i="5"/>
  <c r="AH6" i="5"/>
  <c r="AH22" i="5"/>
  <c r="AH19" i="5"/>
  <c r="BD100" i="4"/>
  <c r="AK102" i="4"/>
  <c r="AK103" i="4" s="1"/>
  <c r="AH12" i="5"/>
  <c r="AH16" i="5" s="1"/>
  <c r="AS24" i="5"/>
  <c r="AS11" i="5"/>
  <c r="AS7" i="5"/>
  <c r="AS22" i="5"/>
  <c r="AS6" i="5"/>
  <c r="AS15" i="5"/>
  <c r="AS19" i="5"/>
  <c r="AS16" i="5"/>
  <c r="AS14" i="5"/>
  <c r="AS12" i="5"/>
  <c r="AS13" i="5"/>
  <c r="AS5" i="5"/>
  <c r="AO100" i="4"/>
  <c r="AO105" i="4"/>
  <c r="AH24" i="5"/>
  <c r="C37" i="3"/>
  <c r="AX101" i="4"/>
  <c r="AX100" i="4"/>
  <c r="AX102" i="4"/>
  <c r="AX103" i="4" s="1"/>
  <c r="AM102" i="4"/>
  <c r="AM103" i="4" s="1"/>
  <c r="G38" i="3"/>
  <c r="O8" i="3"/>
  <c r="AL105" i="4"/>
  <c r="AL100" i="4"/>
  <c r="AN100" i="4"/>
  <c r="AN105" i="4"/>
  <c r="AP102" i="4"/>
  <c r="AP103" i="4" s="1"/>
  <c r="BD105" i="4"/>
  <c r="AM99" i="4"/>
  <c r="AM100" i="4"/>
  <c r="AM101" i="4"/>
  <c r="O15" i="3"/>
  <c r="AG102" i="4"/>
  <c r="AG103" i="4" s="1"/>
  <c r="AG101" i="4"/>
  <c r="AG99" i="4"/>
  <c r="AV105" i="4"/>
  <c r="AV102" i="4"/>
  <c r="AV103" i="4" s="1"/>
  <c r="AV101" i="4"/>
  <c r="AS102" i="4"/>
  <c r="AS103" i="4" s="1"/>
  <c r="AS101" i="4"/>
  <c r="AV99" i="4"/>
  <c r="AW105" i="4"/>
  <c r="AW101" i="4"/>
  <c r="AW102" i="4"/>
  <c r="AW103" i="4" s="1"/>
  <c r="AS100" i="4"/>
  <c r="AG105" i="4"/>
  <c r="G38" i="5"/>
  <c r="AW13" i="5"/>
  <c r="AW12" i="5"/>
  <c r="AW5" i="5"/>
  <c r="AW15" i="5"/>
  <c r="AW11" i="5"/>
  <c r="AW24" i="5"/>
  <c r="AW19" i="5"/>
  <c r="AW7" i="5"/>
  <c r="AW14" i="5"/>
  <c r="AC11" i="5"/>
  <c r="AC15" i="5"/>
  <c r="AC22" i="5"/>
  <c r="AC16" i="5"/>
  <c r="AC19" i="5"/>
  <c r="AC7" i="5"/>
  <c r="AL6" i="5"/>
  <c r="AL12" i="5"/>
  <c r="AL5" i="5"/>
  <c r="AL24" i="5"/>
  <c r="BA105" i="4"/>
  <c r="BA99" i="4"/>
  <c r="AC12" i="5"/>
  <c r="AF15" i="5"/>
  <c r="AF19" i="5"/>
  <c r="AF16" i="5"/>
  <c r="AF12" i="5"/>
  <c r="AF7" i="5"/>
  <c r="AF11" i="5"/>
  <c r="AF14" i="5"/>
  <c r="AZ15" i="5"/>
  <c r="AZ6" i="5"/>
  <c r="AZ12" i="5"/>
  <c r="AZ5" i="5"/>
  <c r="AZ24" i="5"/>
  <c r="AZ19" i="5"/>
  <c r="AZ16" i="5"/>
  <c r="AZ11" i="5"/>
  <c r="AZ7" i="5"/>
  <c r="BB100" i="4"/>
  <c r="BB99" i="4"/>
  <c r="C35" i="4"/>
  <c r="AF6" i="5"/>
  <c r="AL8" i="5"/>
  <c r="AL9" i="5" s="1"/>
  <c r="AO80" i="5"/>
  <c r="AO22" i="5"/>
  <c r="AO19" i="5"/>
  <c r="AO5" i="5"/>
  <c r="AO51" i="5"/>
  <c r="AE24" i="5"/>
  <c r="AE11" i="5"/>
  <c r="AE7" i="5"/>
  <c r="AE15" i="5"/>
  <c r="AE14" i="5"/>
  <c r="AE13" i="5"/>
  <c r="AE6" i="5"/>
  <c r="AY22" i="5"/>
  <c r="AY14" i="5"/>
  <c r="AY13" i="5"/>
  <c r="AY12" i="5"/>
  <c r="AY8" i="5"/>
  <c r="AY9" i="5" s="1"/>
  <c r="AY7" i="5"/>
  <c r="AY19" i="5"/>
  <c r="AY11" i="5"/>
  <c r="AC6" i="5"/>
  <c r="AJ7" i="5"/>
  <c r="AJ6" i="5"/>
  <c r="AJ80" i="5"/>
  <c r="AJ22" i="5"/>
  <c r="AJ11" i="5"/>
  <c r="C35" i="5"/>
  <c r="AH105" i="4"/>
  <c r="Z22" i="5"/>
  <c r="Z12" i="5"/>
  <c r="Z5" i="5"/>
  <c r="Z19" i="5"/>
  <c r="Z14" i="5"/>
  <c r="Z11" i="5"/>
  <c r="Z24" i="5"/>
  <c r="Z16" i="5"/>
  <c r="AJ13" i="5"/>
  <c r="AL15" i="5"/>
  <c r="BC105" i="4"/>
  <c r="AR100" i="4"/>
  <c r="AT101" i="4"/>
  <c r="AE12" i="5"/>
  <c r="AB19" i="5"/>
  <c r="AB14" i="5"/>
  <c r="AB8" i="5"/>
  <c r="AB9" i="5" s="1"/>
  <c r="AB5" i="5"/>
  <c r="AB15" i="5"/>
  <c r="AB6" i="5"/>
  <c r="AB16" i="5"/>
  <c r="AB13" i="5"/>
  <c r="AL13" i="5"/>
  <c r="AC14" i="5"/>
  <c r="AJ19" i="5"/>
  <c r="AL22" i="5"/>
  <c r="AP24" i="5"/>
  <c r="AP14" i="5"/>
  <c r="AP22" i="5"/>
  <c r="AP15" i="5"/>
  <c r="AP6" i="5"/>
  <c r="AP13" i="5"/>
  <c r="AV15" i="5"/>
  <c r="AV7" i="5"/>
  <c r="AV22" i="5"/>
  <c r="AV6" i="5"/>
  <c r="AV19" i="5"/>
  <c r="AV14" i="5"/>
  <c r="AV13" i="5"/>
  <c r="AV12" i="5"/>
  <c r="AV24" i="5"/>
  <c r="AJ101" i="4"/>
  <c r="AR101" i="4"/>
  <c r="AR102" i="4"/>
  <c r="AR103" i="4" s="1"/>
  <c r="AJ102" i="4"/>
  <c r="AJ103" i="4" s="1"/>
  <c r="AK24" i="5"/>
  <c r="AK19" i="5"/>
  <c r="AK14" i="5"/>
  <c r="AK7" i="5"/>
  <c r="AE102" i="4"/>
  <c r="AE103" i="4" s="1"/>
  <c r="AY101" i="4"/>
  <c r="AZ100" i="4"/>
  <c r="AE105" i="4"/>
  <c r="AA24" i="5"/>
  <c r="AA22" i="5"/>
  <c r="AA15" i="5"/>
  <c r="AA6" i="5"/>
  <c r="AA14" i="5"/>
  <c r="AA19" i="5"/>
  <c r="AX7" i="5"/>
  <c r="AX6" i="5"/>
  <c r="AX19" i="5"/>
  <c r="AX16" i="5"/>
  <c r="AX14" i="5"/>
  <c r="AX11" i="5"/>
  <c r="AX8" i="5"/>
  <c r="AX9" i="5" s="1"/>
  <c r="AG22" i="5"/>
  <c r="AG13" i="5"/>
  <c r="AG6" i="5"/>
  <c r="AU22" i="5"/>
  <c r="AU13" i="5"/>
  <c r="AU6" i="5"/>
  <c r="AQ19" i="5"/>
  <c r="AQ11" i="5"/>
  <c r="AQ15" i="5"/>
  <c r="AI100" i="4"/>
  <c r="AG7" i="5"/>
  <c r="AG12" i="5"/>
  <c r="AM19" i="5"/>
  <c r="AM22" i="5"/>
  <c r="AM8" i="5"/>
  <c r="AM9" i="5" s="1"/>
  <c r="AM24" i="5"/>
  <c r="AQ99" i="4"/>
  <c r="G38" i="4"/>
  <c r="AG14" i="5"/>
  <c r="AQ24" i="5"/>
  <c r="AR16" i="5"/>
  <c r="AR8" i="5"/>
  <c r="AR9" i="5" s="1"/>
  <c r="AR13" i="5"/>
  <c r="X12" i="5"/>
  <c r="AN14" i="5"/>
  <c r="Y16" i="5"/>
  <c r="AN16" i="5"/>
  <c r="X22" i="5"/>
  <c r="Y24" i="5"/>
  <c r="AN24" i="5"/>
  <c r="X6" i="5"/>
  <c r="G106" i="15" l="1"/>
  <c r="I106" i="15"/>
  <c r="C106" i="15"/>
  <c r="D106" i="15"/>
  <c r="B106" i="15"/>
  <c r="E106" i="15"/>
  <c r="F61" i="15"/>
  <c r="AA46" i="11"/>
  <c r="V43" i="11"/>
  <c r="V42" i="11"/>
  <c r="AL42" i="11"/>
  <c r="AL46" i="11"/>
  <c r="Y44" i="11"/>
  <c r="Y43" i="11"/>
  <c r="AA42" i="11"/>
  <c r="AA47" i="11"/>
  <c r="AA43" i="11"/>
  <c r="AG44" i="11"/>
  <c r="Y42" i="11"/>
  <c r="AA45" i="11"/>
  <c r="AG43" i="11"/>
  <c r="Y45" i="11"/>
  <c r="AG42" i="11"/>
  <c r="Y47" i="11"/>
  <c r="AG47" i="11"/>
  <c r="AG46" i="11"/>
  <c r="AP46" i="11"/>
  <c r="AP45" i="11"/>
  <c r="V47" i="11"/>
  <c r="AL47" i="11"/>
  <c r="AP42" i="11"/>
  <c r="V46" i="11"/>
  <c r="AL45" i="11"/>
  <c r="AP47" i="11"/>
  <c r="V45" i="11"/>
  <c r="AL44" i="11"/>
  <c r="AP44" i="11"/>
  <c r="D43" i="4"/>
  <c r="J50" i="4"/>
  <c r="AC17" i="11"/>
  <c r="AC19" i="11" s="1"/>
  <c r="AC25" i="11" s="1"/>
  <c r="AQ16" i="5"/>
  <c r="AQ8" i="5"/>
  <c r="AQ9" i="5" s="1"/>
  <c r="AK8" i="5"/>
  <c r="AK9" i="5" s="1"/>
  <c r="AE16" i="5"/>
  <c r="AE8" i="5"/>
  <c r="AE9" i="5" s="1"/>
  <c r="D35" i="5"/>
  <c r="D22" i="5"/>
  <c r="D23" i="5"/>
  <c r="D24" i="5"/>
  <c r="D25" i="5"/>
  <c r="D26" i="5"/>
  <c r="D27" i="5"/>
  <c r="D14" i="5"/>
  <c r="D17" i="5"/>
  <c r="R13" i="3"/>
  <c r="R14" i="3"/>
  <c r="AB14" i="3" s="1"/>
  <c r="R13" i="4"/>
  <c r="R14" i="4"/>
  <c r="D40" i="4"/>
  <c r="D41" i="4"/>
  <c r="D42" i="4"/>
  <c r="D35" i="4"/>
  <c r="D23" i="4"/>
  <c r="D24" i="4"/>
  <c r="D25" i="4"/>
  <c r="D26" i="4"/>
  <c r="D27" i="4"/>
  <c r="D28" i="4"/>
  <c r="D18" i="4"/>
  <c r="D42" i="3"/>
  <c r="D43" i="3"/>
  <c r="D44" i="3"/>
  <c r="D37" i="3"/>
  <c r="D21" i="3"/>
  <c r="D25" i="3"/>
  <c r="D27" i="3"/>
  <c r="D28" i="3"/>
  <c r="D29" i="3"/>
  <c r="D26" i="3"/>
  <c r="D14" i="3"/>
  <c r="D12" i="1"/>
  <c r="R16" i="5"/>
  <c r="R15" i="5"/>
  <c r="AT80" i="5"/>
  <c r="Z90" i="4"/>
  <c r="AC4" i="4"/>
  <c r="AB28" i="4"/>
  <c r="AB27" i="4"/>
  <c r="Z113" i="3"/>
  <c r="Z41" i="3"/>
  <c r="Z114" i="3" s="1"/>
  <c r="AC4" i="3"/>
  <c r="AB26" i="3"/>
  <c r="M72" i="3"/>
  <c r="M80" i="3"/>
  <c r="M64" i="3"/>
  <c r="Z94" i="3" s="1"/>
  <c r="AC110" i="4"/>
  <c r="AC102" i="4"/>
  <c r="AC103" i="4" s="1"/>
  <c r="AC104" i="4" s="1"/>
  <c r="O10" i="4" s="1"/>
  <c r="E62" i="15"/>
  <c r="G61" i="15"/>
  <c r="G62" i="15"/>
  <c r="D61" i="15"/>
  <c r="D62" i="15"/>
  <c r="C62" i="15"/>
  <c r="C61" i="15"/>
  <c r="E61" i="15"/>
  <c r="F62" i="15"/>
  <c r="E29" i="1"/>
  <c r="AK16" i="5"/>
  <c r="AD12" i="12"/>
  <c r="AY12" i="12" s="1"/>
  <c r="BA6" i="12"/>
  <c r="BA15" i="12"/>
  <c r="AY19" i="12"/>
  <c r="AY11" i="12"/>
  <c r="BI26" i="12"/>
  <c r="BC26" i="12"/>
  <c r="BC12" i="12"/>
  <c r="BC17" i="12"/>
  <c r="AY14" i="12"/>
  <c r="BC23" i="12"/>
  <c r="AY4" i="12"/>
  <c r="BC21" i="12"/>
  <c r="E63" i="15"/>
  <c r="G63" i="15"/>
  <c r="G20" i="15" a="1"/>
  <c r="G20" i="15" s="1"/>
  <c r="BC16" i="12"/>
  <c r="AY16" i="12"/>
  <c r="AM15" i="12"/>
  <c r="AN15" i="12" s="1"/>
  <c r="BC15" i="12"/>
  <c r="AY15" i="12"/>
  <c r="AY7" i="12"/>
  <c r="BC7" i="12"/>
  <c r="AY9" i="12"/>
  <c r="BC9" i="12"/>
  <c r="G18" i="15" a="1"/>
  <c r="G18" i="15" s="1"/>
  <c r="AY6" i="12"/>
  <c r="BC6" i="12"/>
  <c r="BC5" i="12"/>
  <c r="AY5" i="12"/>
  <c r="D19" i="15" a="1"/>
  <c r="D19" i="15" s="1"/>
  <c r="BC2" i="12"/>
  <c r="AY2" i="12"/>
  <c r="AY25" i="12"/>
  <c r="BC25" i="12"/>
  <c r="BC24" i="12"/>
  <c r="AY24" i="12"/>
  <c r="C63" i="15"/>
  <c r="D63" i="15"/>
  <c r="AY10" i="12"/>
  <c r="D20" i="15" a="1"/>
  <c r="D20" i="15" s="1"/>
  <c r="F63" i="15"/>
  <c r="C49" i="4"/>
  <c r="D49" i="4" s="1"/>
  <c r="C12" i="1"/>
  <c r="F14" i="1"/>
  <c r="F13" i="1"/>
  <c r="F15" i="1"/>
  <c r="F17" i="1"/>
  <c r="F16" i="1"/>
  <c r="F18" i="1"/>
  <c r="I75" i="3"/>
  <c r="B12" i="1"/>
  <c r="AI110" i="4"/>
  <c r="AI102" i="4"/>
  <c r="AI103" i="4" s="1"/>
  <c r="AI104" i="4" s="1"/>
  <c r="O16" i="4" s="1"/>
  <c r="AO110" i="4"/>
  <c r="AU102" i="4"/>
  <c r="AU103" i="4" s="1"/>
  <c r="AU104" i="4" s="1"/>
  <c r="O28" i="4" s="1"/>
  <c r="AO102" i="4"/>
  <c r="AO103" i="4" s="1"/>
  <c r="AO104" i="4" s="1"/>
  <c r="O22" i="4" s="1"/>
  <c r="Z44" i="4"/>
  <c r="Z91" i="4" s="1"/>
  <c r="AO53" i="11"/>
  <c r="AO54" i="11"/>
  <c r="AO52" i="11"/>
  <c r="AO56" i="11"/>
  <c r="AO55" i="11"/>
  <c r="AN17" i="11"/>
  <c r="AN19" i="11" s="1"/>
  <c r="AN36" i="11" s="1"/>
  <c r="AN41" i="11" s="1"/>
  <c r="AH17" i="11"/>
  <c r="AH19" i="11" s="1"/>
  <c r="AH36" i="11" s="1"/>
  <c r="AH41" i="11" s="1"/>
  <c r="AR36" i="11"/>
  <c r="AR41" i="11" s="1"/>
  <c r="AR25" i="11"/>
  <c r="AR26" i="11" s="1"/>
  <c r="Y25" i="11"/>
  <c r="Y26" i="11" s="1"/>
  <c r="AP25" i="11"/>
  <c r="AP26" i="11" s="1"/>
  <c r="AG25" i="11"/>
  <c r="O20" i="11" s="1"/>
  <c r="AG35" i="11" s="1"/>
  <c r="V25" i="11"/>
  <c r="V61" i="11" s="1"/>
  <c r="AI36" i="11"/>
  <c r="AI41" i="11" s="1"/>
  <c r="X25" i="11"/>
  <c r="X26" i="11" s="1"/>
  <c r="X36" i="11"/>
  <c r="X41" i="11" s="1"/>
  <c r="AL25" i="11"/>
  <c r="AL61" i="11" s="1"/>
  <c r="AL63" i="11" s="1"/>
  <c r="AX36" i="11"/>
  <c r="AX41" i="11" s="1"/>
  <c r="AA25" i="11"/>
  <c r="AA61" i="11" s="1"/>
  <c r="AJ36" i="11"/>
  <c r="AJ41" i="11" s="1"/>
  <c r="AW36" i="11"/>
  <c r="AW41" i="11" s="1"/>
  <c r="AB36" i="11"/>
  <c r="AB41" i="11" s="1"/>
  <c r="AB25" i="11"/>
  <c r="Z25" i="11"/>
  <c r="Z36" i="11"/>
  <c r="Z41" i="11" s="1"/>
  <c r="AF36" i="11"/>
  <c r="AF41" i="11" s="1"/>
  <c r="AF25" i="11"/>
  <c r="W36" i="11"/>
  <c r="W41" i="11" s="1"/>
  <c r="W25" i="11"/>
  <c r="AV36" i="11"/>
  <c r="AV41" i="11" s="1"/>
  <c r="AV25" i="11"/>
  <c r="AD25" i="11"/>
  <c r="AD36" i="11"/>
  <c r="AD41" i="11" s="1"/>
  <c r="AK25" i="11"/>
  <c r="AK36" i="11"/>
  <c r="AK41" i="11" s="1"/>
  <c r="AD56" i="11"/>
  <c r="AD55" i="11"/>
  <c r="AD53" i="11"/>
  <c r="AD51" i="11"/>
  <c r="AD52" i="11"/>
  <c r="AD54" i="11"/>
  <c r="X52" i="11"/>
  <c r="X54" i="11"/>
  <c r="X53" i="11"/>
  <c r="X51" i="11"/>
  <c r="X56" i="11"/>
  <c r="X55" i="11"/>
  <c r="AV54" i="11"/>
  <c r="AV56" i="11"/>
  <c r="AV55" i="11"/>
  <c r="AV51" i="11"/>
  <c r="AV52" i="11"/>
  <c r="AV53" i="11"/>
  <c r="U36" i="11"/>
  <c r="U41" i="11" s="1"/>
  <c r="U25" i="11"/>
  <c r="C47" i="11"/>
  <c r="D47" i="11" s="1"/>
  <c r="AG51" i="11"/>
  <c r="AG54" i="11"/>
  <c r="AG55" i="11"/>
  <c r="AG52" i="11"/>
  <c r="AG56" i="11"/>
  <c r="AG53" i="11"/>
  <c r="AJ61" i="11"/>
  <c r="O23" i="11"/>
  <c r="AJ35" i="11" s="1"/>
  <c r="AQ56" i="11"/>
  <c r="AQ55" i="11"/>
  <c r="AQ54" i="11"/>
  <c r="AQ51" i="11"/>
  <c r="AQ52" i="11"/>
  <c r="AQ53" i="11"/>
  <c r="AW52" i="11"/>
  <c r="AW53" i="11"/>
  <c r="AW56" i="11"/>
  <c r="AW51" i="11"/>
  <c r="AW55" i="11"/>
  <c r="AW54" i="11"/>
  <c r="AT55" i="11"/>
  <c r="AT51" i="11"/>
  <c r="AT56" i="11"/>
  <c r="AT52" i="11"/>
  <c r="AT54" i="11"/>
  <c r="AT53" i="11"/>
  <c r="Z55" i="11"/>
  <c r="Z51" i="11"/>
  <c r="Z54" i="11"/>
  <c r="Z52" i="11"/>
  <c r="Z53" i="11"/>
  <c r="Z56" i="11"/>
  <c r="AQ25" i="11"/>
  <c r="AQ36" i="11"/>
  <c r="AQ41" i="11" s="1"/>
  <c r="AK53" i="11"/>
  <c r="AK56" i="11"/>
  <c r="AK52" i="11"/>
  <c r="AK54" i="11"/>
  <c r="AK55" i="11"/>
  <c r="AK51" i="11"/>
  <c r="AE25" i="11"/>
  <c r="AE36" i="11"/>
  <c r="AE41" i="11" s="1"/>
  <c r="AU51" i="11"/>
  <c r="AU54" i="11"/>
  <c r="AU52" i="11"/>
  <c r="AU53" i="11"/>
  <c r="AU55" i="11"/>
  <c r="AU56" i="11"/>
  <c r="AU36" i="11"/>
  <c r="AU41" i="11" s="1"/>
  <c r="AU25" i="11"/>
  <c r="AI53" i="11"/>
  <c r="AI55" i="11"/>
  <c r="AI52" i="11"/>
  <c r="AI54" i="11"/>
  <c r="AI56" i="11"/>
  <c r="AI51" i="11"/>
  <c r="AX61" i="11"/>
  <c r="O37" i="11"/>
  <c r="AX35" i="11" s="1"/>
  <c r="AW61" i="11"/>
  <c r="O36" i="11"/>
  <c r="AW35" i="11" s="1"/>
  <c r="AW26" i="11"/>
  <c r="AI61" i="11"/>
  <c r="O22" i="11"/>
  <c r="AI35" i="11" s="1"/>
  <c r="AB52" i="11"/>
  <c r="AB56" i="11"/>
  <c r="AB54" i="11"/>
  <c r="AB53" i="11"/>
  <c r="AB51" i="11"/>
  <c r="AB55" i="11"/>
  <c r="AI26" i="11"/>
  <c r="W53" i="11"/>
  <c r="W52" i="11"/>
  <c r="W54" i="11"/>
  <c r="W55" i="11"/>
  <c r="W56" i="11"/>
  <c r="W51" i="11"/>
  <c r="AE55" i="11"/>
  <c r="AE52" i="11"/>
  <c r="AE51" i="11"/>
  <c r="AE53" i="11"/>
  <c r="AE54" i="11"/>
  <c r="AE56" i="11"/>
  <c r="AM36" i="11"/>
  <c r="AM41" i="11" s="1"/>
  <c r="AM25" i="11"/>
  <c r="AT25" i="11"/>
  <c r="AT36" i="11"/>
  <c r="AT41" i="11" s="1"/>
  <c r="AN52" i="11"/>
  <c r="AN54" i="11"/>
  <c r="AN53" i="11"/>
  <c r="AN51" i="11"/>
  <c r="AN55" i="11"/>
  <c r="AN56" i="11"/>
  <c r="AF55" i="11"/>
  <c r="AF51" i="11"/>
  <c r="AF52" i="11"/>
  <c r="AF54" i="11"/>
  <c r="AF56" i="11"/>
  <c r="AF53" i="11"/>
  <c r="J45" i="11"/>
  <c r="AM52" i="11"/>
  <c r="AM54" i="11"/>
  <c r="AM56" i="11"/>
  <c r="AM51" i="11"/>
  <c r="AM53" i="11"/>
  <c r="AM55" i="11"/>
  <c r="AO25" i="11"/>
  <c r="AO36" i="11"/>
  <c r="AO41" i="11" s="1"/>
  <c r="AJ53" i="11"/>
  <c r="AJ51" i="11"/>
  <c r="AJ52" i="11"/>
  <c r="AJ55" i="11"/>
  <c r="AJ54" i="11"/>
  <c r="AJ56" i="11"/>
  <c r="AC56" i="11"/>
  <c r="AC53" i="11"/>
  <c r="AC51" i="11"/>
  <c r="AC52" i="11"/>
  <c r="AC54" i="11"/>
  <c r="AC55" i="11"/>
  <c r="AX26" i="11"/>
  <c r="U56" i="11"/>
  <c r="U51" i="11"/>
  <c r="U54" i="11"/>
  <c r="U52" i="11"/>
  <c r="U53" i="11"/>
  <c r="U55" i="11"/>
  <c r="AP52" i="11"/>
  <c r="AP56" i="11"/>
  <c r="AP55" i="11"/>
  <c r="AP54" i="11"/>
  <c r="AP51" i="11"/>
  <c r="AP53" i="11"/>
  <c r="AS36" i="11"/>
  <c r="AS41" i="11" s="1"/>
  <c r="AS25" i="11"/>
  <c r="I52" i="11"/>
  <c r="J52" i="11" s="1"/>
  <c r="J50" i="11"/>
  <c r="N38" i="3"/>
  <c r="S38" i="3" s="1"/>
  <c r="AJ51" i="5"/>
  <c r="AJ52" i="5" s="1"/>
  <c r="AC51" i="5"/>
  <c r="AC53" i="5" s="1"/>
  <c r="N38" i="4"/>
  <c r="AE80" i="5"/>
  <c r="AM80" i="5"/>
  <c r="AX51" i="5"/>
  <c r="AX56" i="5" s="1"/>
  <c r="W6" i="5"/>
  <c r="AQ80" i="5"/>
  <c r="AK51" i="5"/>
  <c r="AK55" i="5" s="1"/>
  <c r="AL51" i="5"/>
  <c r="AL56" i="5" s="1"/>
  <c r="AC18" i="5"/>
  <c r="AC20" i="5" s="1"/>
  <c r="AC26" i="5" s="1"/>
  <c r="AI80" i="5"/>
  <c r="AV51" i="5"/>
  <c r="AV56" i="5" s="1"/>
  <c r="AW80" i="5"/>
  <c r="AZ51" i="5"/>
  <c r="AZ56" i="5" s="1"/>
  <c r="AF71" i="5"/>
  <c r="AL80" i="5"/>
  <c r="AV80" i="5"/>
  <c r="AW51" i="5"/>
  <c r="AW53" i="5" s="1"/>
  <c r="AZ80" i="5"/>
  <c r="AR80" i="5"/>
  <c r="AS80" i="5"/>
  <c r="W19" i="5"/>
  <c r="X80" i="5"/>
  <c r="AW18" i="5"/>
  <c r="AW20" i="5" s="1"/>
  <c r="AW26" i="5" s="1"/>
  <c r="AW27" i="5" s="1"/>
  <c r="AF51" i="5"/>
  <c r="AF57" i="5" s="1"/>
  <c r="AB51" i="5"/>
  <c r="AB53" i="5" s="1"/>
  <c r="AS51" i="5"/>
  <c r="AS57" i="5" s="1"/>
  <c r="Y51" i="5"/>
  <c r="Y53" i="5" s="1"/>
  <c r="AU51" i="5"/>
  <c r="AU54" i="5" s="1"/>
  <c r="AB80" i="5"/>
  <c r="X51" i="5"/>
  <c r="X53" i="5" s="1"/>
  <c r="AK80" i="5"/>
  <c r="W24" i="5"/>
  <c r="W80" i="5"/>
  <c r="AZ18" i="5"/>
  <c r="AZ20" i="5" s="1"/>
  <c r="Y80" i="5"/>
  <c r="AD51" i="5"/>
  <c r="AD56" i="5" s="1"/>
  <c r="AD80" i="5"/>
  <c r="AM51" i="5"/>
  <c r="AP51" i="5"/>
  <c r="AP53" i="5" s="1"/>
  <c r="AC80" i="5"/>
  <c r="W15" i="5"/>
  <c r="AY80" i="5"/>
  <c r="W8" i="5"/>
  <c r="W9" i="5" s="1"/>
  <c r="W12" i="5"/>
  <c r="W13" i="5"/>
  <c r="AQ51" i="5"/>
  <c r="AQ54" i="5" s="1"/>
  <c r="W51" i="5"/>
  <c r="W52" i="5" s="1"/>
  <c r="AP80" i="5"/>
  <c r="AS18" i="5"/>
  <c r="AS20" i="5" s="1"/>
  <c r="AR51" i="5"/>
  <c r="AR57" i="5" s="1"/>
  <c r="AX80" i="5"/>
  <c r="AH80" i="5"/>
  <c r="W22" i="5"/>
  <c r="W71" i="5" s="1"/>
  <c r="AI51" i="5"/>
  <c r="AI54" i="5" s="1"/>
  <c r="W7" i="5"/>
  <c r="AE51" i="5"/>
  <c r="AE55" i="5" s="1"/>
  <c r="AT51" i="5"/>
  <c r="AT53" i="5" s="1"/>
  <c r="W11" i="5"/>
  <c r="N38" i="5"/>
  <c r="W5" i="5"/>
  <c r="AA51" i="5"/>
  <c r="AA56" i="5" s="1"/>
  <c r="W16" i="5"/>
  <c r="AR71" i="5"/>
  <c r="W14" i="5"/>
  <c r="AY51" i="5"/>
  <c r="AY54" i="5" s="1"/>
  <c r="AF80" i="5"/>
  <c r="AH51" i="5"/>
  <c r="AH52" i="5" s="1"/>
  <c r="AU80" i="5"/>
  <c r="AG80" i="5"/>
  <c r="AA80" i="5"/>
  <c r="Z51" i="5"/>
  <c r="Z52" i="5" s="1"/>
  <c r="AN80" i="5"/>
  <c r="Z80" i="5"/>
  <c r="AN51" i="5"/>
  <c r="AN56" i="5" s="1"/>
  <c r="AG51" i="5"/>
  <c r="AT110" i="4"/>
  <c r="AH110" i="4"/>
  <c r="AN110" i="4"/>
  <c r="AZ110" i="4"/>
  <c r="AB110" i="4"/>
  <c r="AR104" i="4"/>
  <c r="O25" i="4" s="1"/>
  <c r="AF104" i="4"/>
  <c r="AF108" i="4"/>
  <c r="AM104" i="4"/>
  <c r="AM108" i="4"/>
  <c r="AQ104" i="4"/>
  <c r="AQ108" i="4"/>
  <c r="AJ104" i="4"/>
  <c r="AJ108" i="4"/>
  <c r="AY104" i="4"/>
  <c r="AY108" i="4"/>
  <c r="AL104" i="4"/>
  <c r="O19" i="4" s="1"/>
  <c r="AK104" i="4"/>
  <c r="AK108" i="4"/>
  <c r="AX104" i="4"/>
  <c r="O31" i="4" s="1"/>
  <c r="AP104" i="4"/>
  <c r="AP108" i="4"/>
  <c r="AD104" i="4"/>
  <c r="AD108" i="4"/>
  <c r="AS104" i="4"/>
  <c r="AS108" i="4"/>
  <c r="BC104" i="4"/>
  <c r="BC108" i="4"/>
  <c r="BA104" i="4"/>
  <c r="BA108" i="4"/>
  <c r="BB104" i="4"/>
  <c r="BB108" i="4"/>
  <c r="BD104" i="4"/>
  <c r="BD108" i="4"/>
  <c r="AE104" i="4"/>
  <c r="AE108" i="4"/>
  <c r="AG104" i="4"/>
  <c r="AG108" i="4"/>
  <c r="AW104" i="4"/>
  <c r="AW108" i="4"/>
  <c r="AV104" i="4"/>
  <c r="AV108" i="4"/>
  <c r="AA108" i="4"/>
  <c r="AA104" i="4"/>
  <c r="AQ38" i="5"/>
  <c r="AI18" i="5"/>
  <c r="AI20" i="5" s="1"/>
  <c r="AI37" i="5" s="1"/>
  <c r="AI42" i="5" s="1"/>
  <c r="AI48" i="5" s="1"/>
  <c r="AT18" i="5"/>
  <c r="AT20" i="5" s="1"/>
  <c r="AT26" i="5" s="1"/>
  <c r="AG18" i="5"/>
  <c r="AG20" i="5" s="1"/>
  <c r="AG26" i="5" s="1"/>
  <c r="AP8" i="5"/>
  <c r="AP9" i="5" s="1"/>
  <c r="AA18" i="5"/>
  <c r="AA20" i="5" s="1"/>
  <c r="AO18" i="5"/>
  <c r="AO20" i="5" s="1"/>
  <c r="AO26" i="5" s="1"/>
  <c r="AO27" i="5" s="1"/>
  <c r="AN18" i="5"/>
  <c r="AN20" i="5" s="1"/>
  <c r="AN37" i="5" s="1"/>
  <c r="AN42" i="5" s="1"/>
  <c r="AN45" i="5" s="1"/>
  <c r="X8" i="5"/>
  <c r="X9" i="5" s="1"/>
  <c r="AL18" i="5"/>
  <c r="AL20" i="5" s="1"/>
  <c r="AL26" i="5" s="1"/>
  <c r="AL27" i="5" s="1"/>
  <c r="AT102" i="4"/>
  <c r="AT103" i="4" s="1"/>
  <c r="AZ38" i="5"/>
  <c r="Y18" i="5"/>
  <c r="Y20" i="5" s="1"/>
  <c r="Y26" i="5" s="1"/>
  <c r="AJ8" i="5"/>
  <c r="AJ9" i="5" s="1"/>
  <c r="AY18" i="5"/>
  <c r="AY20" i="5" s="1"/>
  <c r="AY26" i="5" s="1"/>
  <c r="O38" i="3"/>
  <c r="Z6" i="3" s="1"/>
  <c r="AA6" i="3" s="1"/>
  <c r="AN71" i="5"/>
  <c r="AP16" i="5"/>
  <c r="AN102" i="4"/>
  <c r="AN103" i="4" s="1"/>
  <c r="AB71" i="5"/>
  <c r="AI44" i="4"/>
  <c r="AI91" i="4" s="1"/>
  <c r="AH102" i="4"/>
  <c r="AH103" i="4" s="1"/>
  <c r="AU18" i="5"/>
  <c r="AU20" i="5" s="1"/>
  <c r="AU37" i="5" s="1"/>
  <c r="AU42" i="5" s="1"/>
  <c r="AU45" i="5" s="1"/>
  <c r="AK38" i="5"/>
  <c r="AM18" i="5"/>
  <c r="AM20" i="5" s="1"/>
  <c r="AZ102" i="4"/>
  <c r="AZ103" i="4" s="1"/>
  <c r="AD8" i="5"/>
  <c r="AD9" i="5" s="1"/>
  <c r="AX38" i="5"/>
  <c r="AV8" i="5"/>
  <c r="AV9" i="5" s="1"/>
  <c r="AD16" i="5"/>
  <c r="Z18" i="5"/>
  <c r="Z20" i="5" s="1"/>
  <c r="Z37" i="5" s="1"/>
  <c r="Z42" i="5" s="1"/>
  <c r="Z44" i="5" s="1"/>
  <c r="AB102" i="4"/>
  <c r="AB103" i="4" s="1"/>
  <c r="AF18" i="5"/>
  <c r="AF20" i="5" s="1"/>
  <c r="AJ44" i="4"/>
  <c r="AJ91" i="4" s="1"/>
  <c r="AF44" i="4"/>
  <c r="AF91" i="4" s="1"/>
  <c r="AD71" i="5"/>
  <c r="AG44" i="4"/>
  <c r="AG91" i="4" s="1"/>
  <c r="AI71" i="5"/>
  <c r="AH18" i="5"/>
  <c r="AH20" i="5" s="1"/>
  <c r="AW71" i="5"/>
  <c r="AW38" i="5"/>
  <c r="AT38" i="5"/>
  <c r="AE38" i="5"/>
  <c r="AE71" i="5"/>
  <c r="AJ16" i="5"/>
  <c r="X16" i="5"/>
  <c r="AK44" i="4"/>
  <c r="AK91" i="4" s="1"/>
  <c r="AC44" i="4"/>
  <c r="AC91" i="4" s="1"/>
  <c r="AD44" i="4"/>
  <c r="AD91" i="4" s="1"/>
  <c r="AB44" i="4"/>
  <c r="AB91" i="4" s="1"/>
  <c r="AN44" i="4"/>
  <c r="AN91" i="4" s="1"/>
  <c r="Y71" i="5"/>
  <c r="Y38" i="5"/>
  <c r="AB18" i="5"/>
  <c r="AB20" i="5" s="1"/>
  <c r="AV16" i="5"/>
  <c r="AL44" i="4"/>
  <c r="AL91" i="4" s="1"/>
  <c r="AH44" i="4"/>
  <c r="AH91" i="4" s="1"/>
  <c r="AE44" i="4"/>
  <c r="AE91" i="4" s="1"/>
  <c r="AX18" i="5"/>
  <c r="AX20" i="5" s="1"/>
  <c r="AA44" i="4"/>
  <c r="AA91" i="4" s="1"/>
  <c r="J74" i="5"/>
  <c r="J66" i="5"/>
  <c r="J43" i="5"/>
  <c r="J77" i="5"/>
  <c r="J58" i="5"/>
  <c r="J51" i="5"/>
  <c r="I50" i="5"/>
  <c r="J60" i="5"/>
  <c r="J44" i="5"/>
  <c r="J76" i="5"/>
  <c r="I72" i="5"/>
  <c r="J63" i="5"/>
  <c r="J59" i="5"/>
  <c r="J64" i="5"/>
  <c r="J65" i="5"/>
  <c r="J49" i="5"/>
  <c r="J71" i="5"/>
  <c r="J70" i="5"/>
  <c r="J79" i="5"/>
  <c r="J83" i="5"/>
  <c r="J84" i="5" s="1"/>
  <c r="J69" i="5"/>
  <c r="J75" i="5"/>
  <c r="S48" i="4"/>
  <c r="AL38" i="5"/>
  <c r="AL71" i="5"/>
  <c r="AU71" i="5"/>
  <c r="AU38" i="5"/>
  <c r="Z38" i="5"/>
  <c r="Z71" i="5"/>
  <c r="J66" i="3"/>
  <c r="J47" i="3"/>
  <c r="J80" i="3"/>
  <c r="J61" i="3"/>
  <c r="J54" i="3"/>
  <c r="Z16" i="3"/>
  <c r="AA16" i="3" s="1"/>
  <c r="AB16" i="3" s="1"/>
  <c r="AC16" i="3" s="1"/>
  <c r="AD16" i="3" s="1"/>
  <c r="AE16" i="3" s="1"/>
  <c r="AF16" i="3" s="1"/>
  <c r="AG16" i="3" s="1"/>
  <c r="AH16" i="3" s="1"/>
  <c r="AI16" i="3" s="1"/>
  <c r="AJ16" i="3" s="1"/>
  <c r="AK16" i="3" s="1"/>
  <c r="AL16" i="3" s="1"/>
  <c r="AM16" i="3" s="1"/>
  <c r="AN16" i="3" s="1"/>
  <c r="J79" i="3"/>
  <c r="J67" i="3"/>
  <c r="I53" i="3"/>
  <c r="J73" i="3"/>
  <c r="J78" i="3"/>
  <c r="J77" i="3"/>
  <c r="J72" i="3"/>
  <c r="J63" i="3"/>
  <c r="Z18" i="3"/>
  <c r="AA18" i="3" s="1"/>
  <c r="AB18" i="3" s="1"/>
  <c r="AC18" i="3" s="1"/>
  <c r="AD18" i="3" s="1"/>
  <c r="AE18" i="3" s="1"/>
  <c r="AF18" i="3" s="1"/>
  <c r="AG18" i="3" s="1"/>
  <c r="AH18" i="3" s="1"/>
  <c r="AI18" i="3" s="1"/>
  <c r="AJ18" i="3" s="1"/>
  <c r="AK18" i="3" s="1"/>
  <c r="AL18" i="3" s="1"/>
  <c r="AM18" i="3" s="1"/>
  <c r="AN18" i="3" s="1"/>
  <c r="J62" i="3"/>
  <c r="J69" i="3"/>
  <c r="J68" i="3"/>
  <c r="Z12" i="3"/>
  <c r="J82" i="3"/>
  <c r="J52" i="3"/>
  <c r="Z19" i="3"/>
  <c r="Z15" i="3"/>
  <c r="AA15" i="3" s="1"/>
  <c r="AB15" i="3" s="1"/>
  <c r="AC15" i="3" s="1"/>
  <c r="AD15" i="3" s="1"/>
  <c r="AE15" i="3" s="1"/>
  <c r="AF15" i="3" s="1"/>
  <c r="AG15" i="3" s="1"/>
  <c r="AH15" i="3" s="1"/>
  <c r="AI15" i="3" s="1"/>
  <c r="AJ15" i="3" s="1"/>
  <c r="AK15" i="3" s="1"/>
  <c r="AL15" i="3" s="1"/>
  <c r="AM15" i="3" s="1"/>
  <c r="AN15" i="3" s="1"/>
  <c r="J74" i="3"/>
  <c r="Z20" i="3"/>
  <c r="AA20" i="3" s="1"/>
  <c r="AB20" i="3" s="1"/>
  <c r="AC20" i="3" s="1"/>
  <c r="AD20" i="3" s="1"/>
  <c r="AE20" i="3" s="1"/>
  <c r="AF20" i="3" s="1"/>
  <c r="AG20" i="3" s="1"/>
  <c r="AH20" i="3" s="1"/>
  <c r="AI20" i="3" s="1"/>
  <c r="AJ20" i="3" s="1"/>
  <c r="AK20" i="3" s="1"/>
  <c r="AL20" i="3" s="1"/>
  <c r="AM20" i="3" s="1"/>
  <c r="AN20" i="3" s="1"/>
  <c r="Z13" i="3"/>
  <c r="AA13" i="3" s="1"/>
  <c r="AB13" i="3" s="1"/>
  <c r="AC13" i="3" s="1"/>
  <c r="AD13" i="3" s="1"/>
  <c r="AE13" i="3" s="1"/>
  <c r="AF13" i="3" s="1"/>
  <c r="AG13" i="3" s="1"/>
  <c r="AH13" i="3" s="1"/>
  <c r="AI13" i="3" s="1"/>
  <c r="AJ13" i="3" s="1"/>
  <c r="AK13" i="3" s="1"/>
  <c r="AL13" i="3" s="1"/>
  <c r="AM13" i="3" s="1"/>
  <c r="AN13" i="3" s="1"/>
  <c r="J48" i="3"/>
  <c r="AP71" i="5"/>
  <c r="AP38" i="5"/>
  <c r="AY38" i="5"/>
  <c r="AY71" i="5"/>
  <c r="AH38" i="5"/>
  <c r="AH71" i="5"/>
  <c r="X71" i="5"/>
  <c r="X38" i="5"/>
  <c r="AV71" i="5"/>
  <c r="AV38" i="5"/>
  <c r="AO54" i="5"/>
  <c r="AO56" i="5"/>
  <c r="AO53" i="5"/>
  <c r="AO55" i="5"/>
  <c r="AO52" i="5"/>
  <c r="AO57" i="5"/>
  <c r="AJ38" i="5"/>
  <c r="AJ71" i="5"/>
  <c r="AA71" i="5"/>
  <c r="AA38" i="5"/>
  <c r="AO71" i="5"/>
  <c r="AO38" i="5"/>
  <c r="AM71" i="5"/>
  <c r="AM38" i="5"/>
  <c r="AG38" i="5"/>
  <c r="AG71" i="5"/>
  <c r="AC38" i="5"/>
  <c r="AC71" i="5"/>
  <c r="J86" i="4"/>
  <c r="J72" i="4"/>
  <c r="J71" i="4"/>
  <c r="Z12" i="4"/>
  <c r="J90" i="4"/>
  <c r="J91" i="4" s="1"/>
  <c r="J75" i="4"/>
  <c r="J65" i="4"/>
  <c r="J55" i="4"/>
  <c r="Z20" i="4"/>
  <c r="Z19" i="4"/>
  <c r="J64" i="4"/>
  <c r="J84" i="4"/>
  <c r="I79" i="4"/>
  <c r="J81" i="4"/>
  <c r="J78" i="4"/>
  <c r="Z13" i="4"/>
  <c r="AA13" i="4" s="1"/>
  <c r="AB13" i="4" s="1"/>
  <c r="AC13" i="4" s="1"/>
  <c r="AD13" i="4" s="1"/>
  <c r="AE13" i="4" s="1"/>
  <c r="AF13" i="4" s="1"/>
  <c r="AG13" i="4" s="1"/>
  <c r="AH13" i="4" s="1"/>
  <c r="AI13" i="4" s="1"/>
  <c r="AJ13" i="4" s="1"/>
  <c r="AK13" i="4" s="1"/>
  <c r="AL13" i="4" s="1"/>
  <c r="AM13" i="4" s="1"/>
  <c r="AN13" i="4" s="1"/>
  <c r="J77" i="4"/>
  <c r="J69" i="4"/>
  <c r="J70" i="4"/>
  <c r="J66" i="4"/>
  <c r="J51" i="4"/>
  <c r="J76" i="4"/>
  <c r="J83" i="4"/>
  <c r="J57" i="4"/>
  <c r="J82" i="4"/>
  <c r="Z21" i="4"/>
  <c r="AA21" i="4" s="1"/>
  <c r="AB21" i="4" s="1"/>
  <c r="AC21" i="4" s="1"/>
  <c r="AD21" i="4" s="1"/>
  <c r="AE21" i="4" s="1"/>
  <c r="AF21" i="4" s="1"/>
  <c r="AG21" i="4" s="1"/>
  <c r="AH21" i="4" s="1"/>
  <c r="AI21" i="4" s="1"/>
  <c r="AJ21" i="4" s="1"/>
  <c r="AK21" i="4" s="1"/>
  <c r="AL21" i="4" s="1"/>
  <c r="AM21" i="4" s="1"/>
  <c r="AN21" i="4" s="1"/>
  <c r="Z15" i="4"/>
  <c r="AA15" i="4" s="1"/>
  <c r="AB15" i="4" s="1"/>
  <c r="AC15" i="4" s="1"/>
  <c r="AD15" i="4" s="1"/>
  <c r="AE15" i="4" s="1"/>
  <c r="AF15" i="4" s="1"/>
  <c r="AG15" i="4" s="1"/>
  <c r="AH15" i="4" s="1"/>
  <c r="AI15" i="4" s="1"/>
  <c r="AJ15" i="4" s="1"/>
  <c r="AK15" i="4" s="1"/>
  <c r="AL15" i="4" s="1"/>
  <c r="AM15" i="4" s="1"/>
  <c r="AN15" i="4" s="1"/>
  <c r="I56" i="4"/>
  <c r="Z16" i="4"/>
  <c r="AA16" i="4" s="1"/>
  <c r="AB16" i="4" s="1"/>
  <c r="AC16" i="4" s="1"/>
  <c r="AD16" i="4" s="1"/>
  <c r="AE16" i="4" s="1"/>
  <c r="AF16" i="4" s="1"/>
  <c r="AG16" i="4" s="1"/>
  <c r="AH16" i="4" s="1"/>
  <c r="AI16" i="4" s="1"/>
  <c r="AJ16" i="4" s="1"/>
  <c r="AK16" i="4" s="1"/>
  <c r="AL16" i="4" s="1"/>
  <c r="AM16" i="4" s="1"/>
  <c r="AN16" i="4" s="1"/>
  <c r="AN41" i="3"/>
  <c r="AN114" i="3" s="1"/>
  <c r="AJ41" i="3"/>
  <c r="AJ114" i="3" s="1"/>
  <c r="AH41" i="3"/>
  <c r="AH114" i="3" s="1"/>
  <c r="AK41" i="3"/>
  <c r="AK114" i="3" s="1"/>
  <c r="AI41" i="3"/>
  <c r="AI114" i="3" s="1"/>
  <c r="AM41" i="3"/>
  <c r="AM114" i="3" s="1"/>
  <c r="AL41" i="3"/>
  <c r="AL114" i="3" s="1"/>
  <c r="AG41" i="3"/>
  <c r="AG114" i="3" s="1"/>
  <c r="AE41" i="3"/>
  <c r="AE114" i="3" s="1"/>
  <c r="AF41" i="3"/>
  <c r="AF114" i="3" s="1"/>
  <c r="AD41" i="3"/>
  <c r="AD114" i="3" s="1"/>
  <c r="AC41" i="3"/>
  <c r="AC114" i="3" s="1"/>
  <c r="AB41" i="3"/>
  <c r="AB114" i="3" s="1"/>
  <c r="AR18" i="5"/>
  <c r="AR20" i="5" s="1"/>
  <c r="S44" i="3"/>
  <c r="AA39" i="3" s="1"/>
  <c r="AS71" i="5"/>
  <c r="AS38" i="5"/>
  <c r="AT47" i="11" l="1"/>
  <c r="AT46" i="11"/>
  <c r="AT42" i="11"/>
  <c r="AT43" i="11"/>
  <c r="AT44" i="11"/>
  <c r="AT45" i="11"/>
  <c r="X46" i="11"/>
  <c r="X42" i="11"/>
  <c r="X43" i="11"/>
  <c r="X44" i="11"/>
  <c r="X45" i="11"/>
  <c r="X47" i="11"/>
  <c r="AM45" i="11"/>
  <c r="AM43" i="11"/>
  <c r="AM44" i="11"/>
  <c r="AM47" i="11"/>
  <c r="AM46" i="11"/>
  <c r="AM42" i="11"/>
  <c r="AF45" i="11"/>
  <c r="AF43" i="11"/>
  <c r="AF42" i="11"/>
  <c r="AF47" i="11"/>
  <c r="AF46" i="11"/>
  <c r="AF44" i="11"/>
  <c r="Z45" i="11"/>
  <c r="Z46" i="11"/>
  <c r="Z44" i="11"/>
  <c r="Z47" i="11"/>
  <c r="Z42" i="11"/>
  <c r="Z43" i="11"/>
  <c r="AV44" i="11"/>
  <c r="AV45" i="11"/>
  <c r="AV46" i="11"/>
  <c r="AV47" i="11"/>
  <c r="AV42" i="11"/>
  <c r="AV43" i="11"/>
  <c r="AI43" i="11"/>
  <c r="AI44" i="11"/>
  <c r="AI45" i="11"/>
  <c r="AI46" i="11"/>
  <c r="AI47" i="11"/>
  <c r="AI42" i="11"/>
  <c r="AO44" i="11"/>
  <c r="AO45" i="11"/>
  <c r="AO47" i="11"/>
  <c r="AO43" i="11"/>
  <c r="AO42" i="11"/>
  <c r="AO46" i="11"/>
  <c r="AB43" i="11"/>
  <c r="AB44" i="11"/>
  <c r="AB42" i="11"/>
  <c r="AB45" i="11"/>
  <c r="AB46" i="11"/>
  <c r="AB47" i="11"/>
  <c r="AR46" i="11"/>
  <c r="AR47" i="11"/>
  <c r="AR44" i="11"/>
  <c r="AR45" i="11"/>
  <c r="AR42" i="11"/>
  <c r="AR43" i="11"/>
  <c r="W43" i="11"/>
  <c r="W44" i="11"/>
  <c r="W45" i="11"/>
  <c r="W46" i="11"/>
  <c r="W42" i="11"/>
  <c r="W47" i="11"/>
  <c r="AS47" i="11"/>
  <c r="AS42" i="11"/>
  <c r="AS43" i="11"/>
  <c r="AS44" i="11"/>
  <c r="AS45" i="11"/>
  <c r="AS46" i="11"/>
  <c r="AU43" i="11"/>
  <c r="AU44" i="11"/>
  <c r="AU46" i="11"/>
  <c r="AU42" i="11"/>
  <c r="AU45" i="11"/>
  <c r="AU47" i="11"/>
  <c r="AK46" i="11"/>
  <c r="AK42" i="11"/>
  <c r="AK47" i="11"/>
  <c r="AK43" i="11"/>
  <c r="AK44" i="11"/>
  <c r="AK45" i="11"/>
  <c r="AW43" i="11"/>
  <c r="AW44" i="11"/>
  <c r="AW45" i="11"/>
  <c r="AW46" i="11"/>
  <c r="AW47" i="11"/>
  <c r="AW42" i="11"/>
  <c r="AH44" i="11"/>
  <c r="AH45" i="11"/>
  <c r="AH46" i="11"/>
  <c r="AH47" i="11"/>
  <c r="AH42" i="11"/>
  <c r="AH43" i="11"/>
  <c r="AQ43" i="11"/>
  <c r="AQ44" i="11"/>
  <c r="AQ42" i="11"/>
  <c r="AQ46" i="11"/>
  <c r="AQ47" i="11"/>
  <c r="AQ45" i="11"/>
  <c r="AJ42" i="11"/>
  <c r="AJ43" i="11"/>
  <c r="AJ44" i="11"/>
  <c r="AJ45" i="11"/>
  <c r="AJ46" i="11"/>
  <c r="AJ47" i="11"/>
  <c r="AN42" i="11"/>
  <c r="AN43" i="11"/>
  <c r="AN44" i="11"/>
  <c r="AN46" i="11"/>
  <c r="AN47" i="11"/>
  <c r="AN45" i="11"/>
  <c r="AE47" i="11"/>
  <c r="AE44" i="11"/>
  <c r="AE45" i="11"/>
  <c r="AE46" i="11"/>
  <c r="AE42" i="11"/>
  <c r="AE43" i="11"/>
  <c r="AD47" i="11"/>
  <c r="AD44" i="11"/>
  <c r="AD42" i="11"/>
  <c r="AD43" i="11"/>
  <c r="AD45" i="11"/>
  <c r="AD46" i="11"/>
  <c r="AX47" i="11"/>
  <c r="AX42" i="11"/>
  <c r="AX43" i="11"/>
  <c r="AX44" i="11"/>
  <c r="AX45" i="11"/>
  <c r="AX46" i="11"/>
  <c r="U42" i="11"/>
  <c r="U43" i="11"/>
  <c r="U46" i="11"/>
  <c r="U47" i="11"/>
  <c r="U44" i="11"/>
  <c r="U45" i="11"/>
  <c r="AI45" i="5"/>
  <c r="AI43" i="5"/>
  <c r="AI46" i="5"/>
  <c r="AU48" i="5"/>
  <c r="Z48" i="5"/>
  <c r="Z46" i="5"/>
  <c r="AI47" i="5"/>
  <c r="AU44" i="5"/>
  <c r="Z47" i="5"/>
  <c r="Z45" i="5"/>
  <c r="Z43" i="5"/>
  <c r="AN46" i="5"/>
  <c r="AN48" i="5"/>
  <c r="AN44" i="5"/>
  <c r="AN43" i="5"/>
  <c r="AU43" i="5"/>
  <c r="AN47" i="5"/>
  <c r="AU46" i="5"/>
  <c r="AI44" i="5"/>
  <c r="AU47" i="5"/>
  <c r="AB14" i="4"/>
  <c r="AC14" i="4" s="1"/>
  <c r="AD14" i="4" s="1"/>
  <c r="AE14" i="4" s="1"/>
  <c r="AF14" i="4" s="1"/>
  <c r="AG14" i="4" s="1"/>
  <c r="AH14" i="4" s="1"/>
  <c r="AI14" i="4" s="1"/>
  <c r="AJ14" i="4" s="1"/>
  <c r="AK14" i="4" s="1"/>
  <c r="AL14" i="4" s="1"/>
  <c r="AM14" i="4" s="1"/>
  <c r="AN14" i="4" s="1"/>
  <c r="I52" i="4"/>
  <c r="C15" i="4" s="1"/>
  <c r="D15" i="4" s="1"/>
  <c r="Z14" i="4"/>
  <c r="AA14" i="4" s="1"/>
  <c r="AC36" i="11"/>
  <c r="AC41" i="11" s="1"/>
  <c r="AQ18" i="5"/>
  <c r="AQ20" i="5" s="1"/>
  <c r="AQ26" i="5" s="1"/>
  <c r="AK18" i="5"/>
  <c r="AK20" i="5" s="1"/>
  <c r="AK26" i="5" s="1"/>
  <c r="AE18" i="5"/>
  <c r="AE20" i="5" s="1"/>
  <c r="AE26" i="5" s="1"/>
  <c r="AE62" i="5" s="1"/>
  <c r="Z92" i="4"/>
  <c r="AA89" i="4" s="1"/>
  <c r="AA90" i="4" s="1"/>
  <c r="AA92" i="4" s="1"/>
  <c r="AB89" i="4" s="1"/>
  <c r="Z83" i="4"/>
  <c r="Z84" i="4" s="1"/>
  <c r="Z39" i="3"/>
  <c r="Z90" i="3" s="1"/>
  <c r="AA19" i="4"/>
  <c r="AD4" i="4"/>
  <c r="AC27" i="4"/>
  <c r="AC28" i="4"/>
  <c r="Z115" i="3"/>
  <c r="AA112" i="3" s="1"/>
  <c r="AC107" i="3"/>
  <c r="AK107" i="3"/>
  <c r="AD107" i="3"/>
  <c r="AG107" i="3"/>
  <c r="AH107" i="3"/>
  <c r="AL107" i="3"/>
  <c r="AM107" i="3"/>
  <c r="AB107" i="3"/>
  <c r="AE107" i="3"/>
  <c r="AJ107" i="3"/>
  <c r="AF107" i="3"/>
  <c r="AI107" i="3"/>
  <c r="AN107" i="3"/>
  <c r="Z107" i="3"/>
  <c r="AA107" i="3"/>
  <c r="C24" i="3"/>
  <c r="D24" i="3" s="1"/>
  <c r="Z106" i="3"/>
  <c r="AA101" i="3"/>
  <c r="AC101" i="3"/>
  <c r="AB101" i="3"/>
  <c r="AD101" i="3"/>
  <c r="AE101" i="3"/>
  <c r="AF101" i="3"/>
  <c r="AG101" i="3"/>
  <c r="AH101" i="3"/>
  <c r="AI101" i="3"/>
  <c r="AJ101" i="3"/>
  <c r="AK101" i="3"/>
  <c r="AL101" i="3"/>
  <c r="AM101" i="3"/>
  <c r="AN101" i="3"/>
  <c r="Z100" i="3"/>
  <c r="Z101" i="3"/>
  <c r="S51" i="3"/>
  <c r="AI39" i="3" s="1"/>
  <c r="Z88" i="3"/>
  <c r="Z89" i="3" s="1"/>
  <c r="AB95" i="3"/>
  <c r="AN95" i="3"/>
  <c r="Z95" i="3"/>
  <c r="AL95" i="3"/>
  <c r="AJ95" i="3"/>
  <c r="AH95" i="3"/>
  <c r="AG95" i="3"/>
  <c r="AE95" i="3"/>
  <c r="AA95" i="3"/>
  <c r="AM95" i="3"/>
  <c r="AK95" i="3"/>
  <c r="AI95" i="3"/>
  <c r="AF95" i="3"/>
  <c r="AD95" i="3"/>
  <c r="AC95" i="3"/>
  <c r="C22" i="3"/>
  <c r="D22" i="3" s="1"/>
  <c r="C23" i="3"/>
  <c r="D23" i="3" s="1"/>
  <c r="AD4" i="3"/>
  <c r="AC26" i="3"/>
  <c r="AC14" i="3"/>
  <c r="AD14" i="3" s="1"/>
  <c r="AE14" i="3" s="1"/>
  <c r="AF14" i="3" s="1"/>
  <c r="AG14" i="3" s="1"/>
  <c r="AH14" i="3" s="1"/>
  <c r="AI14" i="3" s="1"/>
  <c r="AJ14" i="3" s="1"/>
  <c r="AK14" i="3" s="1"/>
  <c r="AL14" i="3" s="1"/>
  <c r="AM14" i="3" s="1"/>
  <c r="AN14" i="3" s="1"/>
  <c r="D18" i="15" a="1"/>
  <c r="D18" i="15" s="1"/>
  <c r="C29" i="1"/>
  <c r="D29" i="1"/>
  <c r="B29" i="1"/>
  <c r="F12" i="1"/>
  <c r="S40" i="4"/>
  <c r="T40" i="4" s="1"/>
  <c r="T38" i="3"/>
  <c r="AN25" i="11"/>
  <c r="O27" i="11" s="1"/>
  <c r="AN35" i="11" s="1"/>
  <c r="AR61" i="11"/>
  <c r="AR65" i="11" s="1"/>
  <c r="O12" i="11"/>
  <c r="Y35" i="11" s="1"/>
  <c r="AH25" i="11"/>
  <c r="AH61" i="11" s="1"/>
  <c r="Y61" i="11"/>
  <c r="Y67" i="11" s="1"/>
  <c r="AG61" i="11"/>
  <c r="AG63" i="11" s="1"/>
  <c r="O31" i="11"/>
  <c r="AR35" i="11" s="1"/>
  <c r="AG26" i="11"/>
  <c r="O29" i="11"/>
  <c r="AP35" i="11" s="1"/>
  <c r="AP61" i="11"/>
  <c r="AP67" i="11" s="1"/>
  <c r="O9" i="11"/>
  <c r="V35" i="11" s="1"/>
  <c r="AL66" i="11"/>
  <c r="AL84" i="11" s="1"/>
  <c r="O11" i="11"/>
  <c r="X35" i="11" s="1"/>
  <c r="X61" i="11"/>
  <c r="X66" i="11" s="1"/>
  <c r="AL62" i="11"/>
  <c r="AL71" i="11" s="1"/>
  <c r="O14" i="11"/>
  <c r="AA35" i="11" s="1"/>
  <c r="AA26" i="11"/>
  <c r="AL65" i="11"/>
  <c r="AL83" i="11" s="1"/>
  <c r="AL67" i="11"/>
  <c r="AL85" i="11" s="1"/>
  <c r="AL26" i="11"/>
  <c r="AL64" i="11"/>
  <c r="AL82" i="11" s="1"/>
  <c r="O25" i="11"/>
  <c r="AL35" i="11" s="1"/>
  <c r="I53" i="11"/>
  <c r="J53" i="11" s="1"/>
  <c r="J54" i="11" s="1"/>
  <c r="AI67" i="11"/>
  <c r="AI65" i="11"/>
  <c r="AI63" i="11"/>
  <c r="AI66" i="11"/>
  <c r="AI64" i="11"/>
  <c r="AI62" i="11"/>
  <c r="AF61" i="11"/>
  <c r="AF26" i="11"/>
  <c r="O19" i="11"/>
  <c r="AF35" i="11" s="1"/>
  <c r="AO61" i="11"/>
  <c r="O28" i="11"/>
  <c r="AO35" i="11" s="1"/>
  <c r="AO26" i="11"/>
  <c r="AE61" i="11"/>
  <c r="O18" i="11"/>
  <c r="AE35" i="11" s="1"/>
  <c r="AE26" i="11"/>
  <c r="AC61" i="11"/>
  <c r="O16" i="11"/>
  <c r="AC35" i="11" s="1"/>
  <c r="AM61" i="11"/>
  <c r="O26" i="11"/>
  <c r="AM35" i="11" s="1"/>
  <c r="AM26" i="11"/>
  <c r="AX65" i="11"/>
  <c r="AX66" i="11"/>
  <c r="AX63" i="11"/>
  <c r="AX62" i="11"/>
  <c r="AX64" i="11"/>
  <c r="AX67" i="11"/>
  <c r="W61" i="11"/>
  <c r="O10" i="11"/>
  <c r="W35" i="11" s="1"/>
  <c r="W26" i="11"/>
  <c r="V65" i="11"/>
  <c r="V64" i="11"/>
  <c r="V62" i="11"/>
  <c r="V66" i="11"/>
  <c r="V63" i="11"/>
  <c r="V67" i="11"/>
  <c r="AL81" i="11"/>
  <c r="AL72" i="11"/>
  <c r="AK61" i="11"/>
  <c r="AK26" i="11"/>
  <c r="O24" i="11"/>
  <c r="AK35" i="11" s="1"/>
  <c r="AW66" i="11"/>
  <c r="AW62" i="11"/>
  <c r="AW64" i="11"/>
  <c r="AW67" i="11"/>
  <c r="AW65" i="11"/>
  <c r="AW63" i="11"/>
  <c r="AU61" i="11"/>
  <c r="O34" i="11"/>
  <c r="AU35" i="11" s="1"/>
  <c r="AU26" i="11"/>
  <c r="AJ65" i="11"/>
  <c r="AJ67" i="11"/>
  <c r="AJ63" i="11"/>
  <c r="AJ64" i="11"/>
  <c r="AJ62" i="11"/>
  <c r="AJ66" i="11"/>
  <c r="U61" i="11"/>
  <c r="O8" i="11"/>
  <c r="U26" i="11"/>
  <c r="AD61" i="11"/>
  <c r="AD26" i="11"/>
  <c r="O17" i="11"/>
  <c r="AD35" i="11" s="1"/>
  <c r="Z61" i="11"/>
  <c r="O13" i="11"/>
  <c r="Z35" i="11" s="1"/>
  <c r="Z26" i="11"/>
  <c r="AA62" i="11"/>
  <c r="AA63" i="11"/>
  <c r="AA64" i="11"/>
  <c r="AA67" i="11"/>
  <c r="AA66" i="11"/>
  <c r="AA65" i="11"/>
  <c r="AV61" i="11"/>
  <c r="O35" i="11"/>
  <c r="AV35" i="11" s="1"/>
  <c r="AV26" i="11"/>
  <c r="AB61" i="11"/>
  <c r="O15" i="11"/>
  <c r="AB35" i="11" s="1"/>
  <c r="AQ61" i="11"/>
  <c r="AQ26" i="11"/>
  <c r="O30" i="11"/>
  <c r="AQ35" i="11" s="1"/>
  <c r="AS61" i="11"/>
  <c r="O32" i="11"/>
  <c r="AS35" i="11" s="1"/>
  <c r="AT61" i="11"/>
  <c r="O33" i="11"/>
  <c r="AT35" i="11" s="1"/>
  <c r="AC52" i="5"/>
  <c r="AC56" i="5"/>
  <c r="AC57" i="5"/>
  <c r="AC55" i="5"/>
  <c r="AC54" i="5"/>
  <c r="AJ54" i="5"/>
  <c r="AJ57" i="5"/>
  <c r="AJ55" i="5"/>
  <c r="AJ56" i="5"/>
  <c r="AJ53" i="5"/>
  <c r="W54" i="5"/>
  <c r="AX54" i="5"/>
  <c r="AX57" i="5"/>
  <c r="AX55" i="5"/>
  <c r="W18" i="5"/>
  <c r="W20" i="5" s="1"/>
  <c r="W26" i="5" s="1"/>
  <c r="W27" i="5" s="1"/>
  <c r="X55" i="5"/>
  <c r="X52" i="5"/>
  <c r="AL52" i="5"/>
  <c r="AB57" i="5"/>
  <c r="AX52" i="5"/>
  <c r="AX53" i="5"/>
  <c r="AB56" i="5"/>
  <c r="AZ52" i="5"/>
  <c r="AZ57" i="5"/>
  <c r="AI52" i="5"/>
  <c r="AZ53" i="5"/>
  <c r="AV55" i="5"/>
  <c r="AF53" i="5"/>
  <c r="AQ57" i="5"/>
  <c r="AL57" i="5"/>
  <c r="AV54" i="5"/>
  <c r="AL54" i="5"/>
  <c r="AP52" i="5"/>
  <c r="AF52" i="5"/>
  <c r="AV57" i="5"/>
  <c r="AP56" i="5"/>
  <c r="AF55" i="5"/>
  <c r="AV52" i="5"/>
  <c r="AF56" i="5"/>
  <c r="AL55" i="5"/>
  <c r="AD52" i="5"/>
  <c r="AF54" i="5"/>
  <c r="AL53" i="5"/>
  <c r="AK56" i="5"/>
  <c r="AK54" i="5"/>
  <c r="AE56" i="5"/>
  <c r="Y52" i="5"/>
  <c r="AB55" i="5"/>
  <c r="Y56" i="5"/>
  <c r="AH53" i="5"/>
  <c r="AK53" i="5"/>
  <c r="AW55" i="5"/>
  <c r="AH54" i="5"/>
  <c r="AZ54" i="5"/>
  <c r="AZ55" i="5"/>
  <c r="AA54" i="5"/>
  <c r="AK57" i="5"/>
  <c r="AK52" i="5"/>
  <c r="AQ53" i="5"/>
  <c r="AQ56" i="5"/>
  <c r="X56" i="5"/>
  <c r="AI56" i="5"/>
  <c r="AQ55" i="5"/>
  <c r="AV53" i="5"/>
  <c r="X57" i="5"/>
  <c r="AI55" i="5"/>
  <c r="X54" i="5"/>
  <c r="AT57" i="5"/>
  <c r="AP57" i="5"/>
  <c r="Y55" i="5"/>
  <c r="AT54" i="5"/>
  <c r="AW56" i="5"/>
  <c r="AQ52" i="5"/>
  <c r="W38" i="5"/>
  <c r="AW52" i="5"/>
  <c r="AB54" i="5"/>
  <c r="AP55" i="5"/>
  <c r="AB52" i="5"/>
  <c r="W56" i="5"/>
  <c r="AW57" i="5"/>
  <c r="AW54" i="5"/>
  <c r="AH55" i="5"/>
  <c r="AE53" i="5"/>
  <c r="AH56" i="5"/>
  <c r="AD55" i="5"/>
  <c r="AS55" i="5"/>
  <c r="AU55" i="5"/>
  <c r="AR53" i="5"/>
  <c r="AE54" i="5"/>
  <c r="AE52" i="5"/>
  <c r="AH57" i="5"/>
  <c r="AP54" i="5"/>
  <c r="AE57" i="5"/>
  <c r="AS53" i="5"/>
  <c r="AS54" i="5"/>
  <c r="AU57" i="5"/>
  <c r="AD54" i="5"/>
  <c r="AS56" i="5"/>
  <c r="AU56" i="5"/>
  <c r="AI57" i="5"/>
  <c r="AD53" i="5"/>
  <c r="P8" i="5" a="1"/>
  <c r="P8" i="5" s="1"/>
  <c r="P38" i="5" s="1"/>
  <c r="C46" i="5" s="1"/>
  <c r="D46" i="5" s="1"/>
  <c r="AS52" i="5"/>
  <c r="AU52" i="5"/>
  <c r="AA53" i="5"/>
  <c r="AD57" i="5"/>
  <c r="Y57" i="5"/>
  <c r="AU53" i="5"/>
  <c r="AM53" i="5"/>
  <c r="AM56" i="5"/>
  <c r="AM52" i="5"/>
  <c r="AM57" i="5"/>
  <c r="AM54" i="5"/>
  <c r="AM55" i="5"/>
  <c r="Y54" i="5"/>
  <c r="J72" i="5"/>
  <c r="AY56" i="5"/>
  <c r="W53" i="5"/>
  <c r="AA57" i="5"/>
  <c r="AN55" i="5"/>
  <c r="AY53" i="5"/>
  <c r="AY57" i="5"/>
  <c r="AY55" i="5"/>
  <c r="AA55" i="5"/>
  <c r="AT52" i="5"/>
  <c r="W55" i="5"/>
  <c r="AA52" i="5"/>
  <c r="AT56" i="5"/>
  <c r="AR56" i="5"/>
  <c r="AI53" i="5"/>
  <c r="AY52" i="5"/>
  <c r="AR55" i="5"/>
  <c r="AR54" i="5"/>
  <c r="AT55" i="5"/>
  <c r="W57" i="5"/>
  <c r="AR52" i="5"/>
  <c r="Z53" i="5"/>
  <c r="AN54" i="5"/>
  <c r="AN57" i="5"/>
  <c r="Z56" i="5"/>
  <c r="Z55" i="5"/>
  <c r="AN53" i="5"/>
  <c r="Z54" i="5"/>
  <c r="AG57" i="5"/>
  <c r="AG54" i="5"/>
  <c r="AG56" i="5"/>
  <c r="AG55" i="5"/>
  <c r="AG52" i="5"/>
  <c r="AG53" i="5"/>
  <c r="Z57" i="5"/>
  <c r="AN52" i="5"/>
  <c r="AT104" i="4"/>
  <c r="O27" i="4" s="1"/>
  <c r="AZ104" i="4"/>
  <c r="O33" i="4" s="1"/>
  <c r="AH104" i="4"/>
  <c r="O15" i="4" s="1"/>
  <c r="AN104" i="4"/>
  <c r="O21" i="4" s="1"/>
  <c r="AB104" i="4"/>
  <c r="O9" i="4" s="1"/>
  <c r="AD18" i="5"/>
  <c r="AD20" i="5" s="1"/>
  <c r="AD26" i="5" s="1"/>
  <c r="AD62" i="5" s="1"/>
  <c r="AT37" i="5"/>
  <c r="AT42" i="5" s="1"/>
  <c r="AP18" i="5"/>
  <c r="AP20" i="5" s="1"/>
  <c r="AP37" i="5" s="1"/>
  <c r="AP42" i="5" s="1"/>
  <c r="X18" i="5"/>
  <c r="X20" i="5" s="1"/>
  <c r="X26" i="5" s="1"/>
  <c r="AI26" i="5"/>
  <c r="AI62" i="5" s="1"/>
  <c r="Y37" i="5"/>
  <c r="Y42" i="5" s="1"/>
  <c r="AJ18" i="5"/>
  <c r="AJ20" i="5" s="1"/>
  <c r="AJ37" i="5" s="1"/>
  <c r="AJ42" i="5" s="1"/>
  <c r="AG37" i="5"/>
  <c r="AG42" i="5" s="1"/>
  <c r="AC37" i="5"/>
  <c r="AC42" i="5" s="1"/>
  <c r="Z8" i="3"/>
  <c r="Z7" i="3"/>
  <c r="AO37" i="5"/>
  <c r="AO42" i="5" s="1"/>
  <c r="AU26" i="5"/>
  <c r="AU62" i="5" s="1"/>
  <c r="J52" i="4"/>
  <c r="AV18" i="5"/>
  <c r="AV20" i="5" s="1"/>
  <c r="AV37" i="5" s="1"/>
  <c r="AV42" i="5" s="1"/>
  <c r="Z26" i="5"/>
  <c r="Z62" i="5" s="1"/>
  <c r="AL37" i="5"/>
  <c r="AL42" i="5" s="1"/>
  <c r="AN26" i="5"/>
  <c r="AN27" i="5" s="1"/>
  <c r="AW37" i="5"/>
  <c r="AW42" i="5" s="1"/>
  <c r="AB37" i="5"/>
  <c r="AB42" i="5" s="1"/>
  <c r="AB26" i="5"/>
  <c r="O13" i="5" s="1"/>
  <c r="AB36" i="5" s="1"/>
  <c r="AA90" i="3"/>
  <c r="AY37" i="5"/>
  <c r="AY42" i="5" s="1"/>
  <c r="J56" i="4"/>
  <c r="I58" i="4"/>
  <c r="J58" i="4" s="1"/>
  <c r="AY62" i="5"/>
  <c r="O36" i="5"/>
  <c r="AY36" i="5" s="1"/>
  <c r="AY27" i="5"/>
  <c r="AR26" i="5"/>
  <c r="AR37" i="5"/>
  <c r="AR42" i="5" s="1"/>
  <c r="AA12" i="4"/>
  <c r="Z73" i="3"/>
  <c r="AA19" i="3"/>
  <c r="AX26" i="5"/>
  <c r="AX37" i="5"/>
  <c r="AX42" i="5" s="1"/>
  <c r="O34" i="5"/>
  <c r="AW36" i="5" s="1"/>
  <c r="AW62" i="5"/>
  <c r="O14" i="5"/>
  <c r="AC36" i="5" s="1"/>
  <c r="AC62" i="5"/>
  <c r="AC27" i="5"/>
  <c r="AO62" i="5"/>
  <c r="O26" i="5"/>
  <c r="AO36" i="5" s="1"/>
  <c r="O31" i="5"/>
  <c r="AT36" i="5" s="1"/>
  <c r="AT62" i="5"/>
  <c r="AT27" i="5"/>
  <c r="J45" i="5"/>
  <c r="AH26" i="5"/>
  <c r="AH37" i="5"/>
  <c r="AH42" i="5" s="1"/>
  <c r="AF37" i="5"/>
  <c r="AF42" i="5" s="1"/>
  <c r="AF26" i="5"/>
  <c r="AA37" i="5"/>
  <c r="AA42" i="5" s="1"/>
  <c r="AA26" i="5"/>
  <c r="AG62" i="5"/>
  <c r="O18" i="5"/>
  <c r="AG36" i="5" s="1"/>
  <c r="AG27" i="5"/>
  <c r="AS37" i="5"/>
  <c r="AS42" i="5" s="1"/>
  <c r="AS26" i="5"/>
  <c r="I55" i="3"/>
  <c r="J55" i="3" s="1"/>
  <c r="J53" i="3"/>
  <c r="J50" i="5"/>
  <c r="I52" i="5"/>
  <c r="J52" i="5" s="1"/>
  <c r="AA12" i="3"/>
  <c r="O10" i="5"/>
  <c r="Y36" i="5" s="1"/>
  <c r="Y27" i="5"/>
  <c r="Y62" i="5"/>
  <c r="AM26" i="5"/>
  <c r="AM37" i="5"/>
  <c r="AM42" i="5" s="1"/>
  <c r="AZ37" i="5"/>
  <c r="AZ42" i="5" s="1"/>
  <c r="AZ26" i="5"/>
  <c r="AL62" i="5"/>
  <c r="O23" i="5"/>
  <c r="AL36" i="5" s="1"/>
  <c r="Z69" i="4"/>
  <c r="AA20" i="4"/>
  <c r="J49" i="3"/>
  <c r="AA7" i="3"/>
  <c r="AA8" i="3"/>
  <c r="AB6" i="3"/>
  <c r="AC42" i="11" l="1"/>
  <c r="AC43" i="11"/>
  <c r="AC45" i="11"/>
  <c r="AC44" i="11"/>
  <c r="AC47" i="11"/>
  <c r="AC46" i="11"/>
  <c r="AS48" i="5"/>
  <c r="AS46" i="5"/>
  <c r="AS47" i="5"/>
  <c r="AS43" i="5"/>
  <c r="AS44" i="5"/>
  <c r="AS45" i="5"/>
  <c r="AR48" i="5"/>
  <c r="AR47" i="5"/>
  <c r="AR43" i="5"/>
  <c r="AR44" i="5"/>
  <c r="AR46" i="5"/>
  <c r="AR45" i="5"/>
  <c r="AZ46" i="5"/>
  <c r="AZ47" i="5"/>
  <c r="AZ45" i="5"/>
  <c r="AZ43" i="5"/>
  <c r="AZ44" i="5"/>
  <c r="AZ48" i="5"/>
  <c r="AO43" i="5"/>
  <c r="AO44" i="5"/>
  <c r="AO46" i="5"/>
  <c r="AO47" i="5"/>
  <c r="AO45" i="5"/>
  <c r="AO48" i="5"/>
  <c r="AL48" i="5"/>
  <c r="AL43" i="5"/>
  <c r="AL44" i="5"/>
  <c r="AL47" i="5"/>
  <c r="AL46" i="5"/>
  <c r="AL45" i="5"/>
  <c r="AM43" i="5"/>
  <c r="AM46" i="5"/>
  <c r="AM48" i="5"/>
  <c r="AM44" i="5"/>
  <c r="AM45" i="5"/>
  <c r="AM47" i="5"/>
  <c r="AA46" i="5"/>
  <c r="AA47" i="5"/>
  <c r="AA45" i="5"/>
  <c r="AA43" i="5"/>
  <c r="AA44" i="5"/>
  <c r="AA48" i="5"/>
  <c r="AY48" i="5"/>
  <c r="AY47" i="5"/>
  <c r="AY43" i="5"/>
  <c r="AY45" i="5"/>
  <c r="AY44" i="5"/>
  <c r="AY46" i="5"/>
  <c r="AC44" i="5"/>
  <c r="AC47" i="5"/>
  <c r="AC45" i="5"/>
  <c r="AC43" i="5"/>
  <c r="AC48" i="5"/>
  <c r="AC46" i="5"/>
  <c r="AG47" i="5"/>
  <c r="AG43" i="5"/>
  <c r="AG44" i="5"/>
  <c r="AG48" i="5"/>
  <c r="AG46" i="5"/>
  <c r="AG45" i="5"/>
  <c r="AT45" i="5"/>
  <c r="AT46" i="5"/>
  <c r="AT44" i="5"/>
  <c r="AT47" i="5"/>
  <c r="AT48" i="5"/>
  <c r="AT43" i="5"/>
  <c r="AV43" i="5"/>
  <c r="AV44" i="5"/>
  <c r="AV47" i="5"/>
  <c r="AV46" i="5"/>
  <c r="AV48" i="5"/>
  <c r="AV45" i="5"/>
  <c r="AF47" i="5"/>
  <c r="AF43" i="5"/>
  <c r="AF46" i="5"/>
  <c r="AF45" i="5"/>
  <c r="AF48" i="5"/>
  <c r="AF44" i="5"/>
  <c r="AX45" i="5"/>
  <c r="AX44" i="5"/>
  <c r="AX46" i="5"/>
  <c r="AX48" i="5"/>
  <c r="AX47" i="5"/>
  <c r="AX43" i="5"/>
  <c r="AJ43" i="5"/>
  <c r="AJ44" i="5"/>
  <c r="AJ47" i="5"/>
  <c r="AJ48" i="5"/>
  <c r="AJ45" i="5"/>
  <c r="AJ46" i="5"/>
  <c r="AP48" i="5"/>
  <c r="AP43" i="5"/>
  <c r="AP45" i="5"/>
  <c r="AP46" i="5"/>
  <c r="AP47" i="5"/>
  <c r="AP44" i="5"/>
  <c r="AH47" i="5"/>
  <c r="AH43" i="5"/>
  <c r="AH46" i="5"/>
  <c r="AH48" i="5"/>
  <c r="AH44" i="5"/>
  <c r="AH45" i="5"/>
  <c r="AB46" i="5"/>
  <c r="AB48" i="5"/>
  <c r="AB43" i="5"/>
  <c r="AB45" i="5"/>
  <c r="AB44" i="5"/>
  <c r="AB47" i="5"/>
  <c r="Y43" i="5"/>
  <c r="Y45" i="5"/>
  <c r="Y44" i="5"/>
  <c r="Y46" i="5"/>
  <c r="Y48" i="5"/>
  <c r="Y47" i="5"/>
  <c r="AW46" i="5"/>
  <c r="AW44" i="5"/>
  <c r="AW45" i="5"/>
  <c r="AW47" i="5"/>
  <c r="AW48" i="5"/>
  <c r="AW43" i="5"/>
  <c r="AE37" i="5"/>
  <c r="AE42" i="5" s="1"/>
  <c r="AK37" i="5"/>
  <c r="AK42" i="5" s="1"/>
  <c r="AQ37" i="5"/>
  <c r="AQ42" i="5" s="1"/>
  <c r="O16" i="5"/>
  <c r="AE36" i="5" s="1"/>
  <c r="AB90" i="4"/>
  <c r="AB92" i="4" s="1"/>
  <c r="AC89" i="4" s="1"/>
  <c r="AG39" i="3"/>
  <c r="AG90" i="3" s="1"/>
  <c r="AH39" i="3"/>
  <c r="AH90" i="3" s="1"/>
  <c r="AE39" i="3"/>
  <c r="AE90" i="3" s="1"/>
  <c r="AF39" i="3"/>
  <c r="AF90" i="3" s="1"/>
  <c r="AC39" i="3"/>
  <c r="AC90" i="3" s="1"/>
  <c r="AD39" i="3"/>
  <c r="AD90" i="3" s="1"/>
  <c r="AB39" i="3"/>
  <c r="AB90" i="3" s="1"/>
  <c r="AB19" i="4"/>
  <c r="AE4" i="4"/>
  <c r="AD28" i="4"/>
  <c r="AD27" i="4"/>
  <c r="AJ39" i="3"/>
  <c r="AJ90" i="3" s="1"/>
  <c r="AN39" i="3"/>
  <c r="AN90" i="3" s="1"/>
  <c r="AA113" i="3"/>
  <c r="AA115" i="3" s="1"/>
  <c r="AB112" i="3" s="1"/>
  <c r="AI90" i="3"/>
  <c r="AL39" i="3"/>
  <c r="AL90" i="3" s="1"/>
  <c r="AK39" i="3"/>
  <c r="AK90" i="3" s="1"/>
  <c r="AM39" i="3"/>
  <c r="AM90" i="3" s="1"/>
  <c r="Z91" i="3"/>
  <c r="AA88" i="3" s="1"/>
  <c r="AE4" i="3"/>
  <c r="AD26" i="3"/>
  <c r="AN61" i="11"/>
  <c r="AN62" i="11" s="1"/>
  <c r="AR66" i="11"/>
  <c r="AR84" i="11" s="1"/>
  <c r="AR67" i="11"/>
  <c r="AR85" i="11" s="1"/>
  <c r="AR63" i="11"/>
  <c r="AR72" i="11" s="1"/>
  <c r="AR64" i="11"/>
  <c r="AR82" i="11" s="1"/>
  <c r="AR62" i="11"/>
  <c r="AR71" i="11" s="1"/>
  <c r="Y63" i="11"/>
  <c r="Y81" i="11" s="1"/>
  <c r="Y66" i="11"/>
  <c r="Y84" i="11" s="1"/>
  <c r="O21" i="11"/>
  <c r="AH35" i="11" s="1"/>
  <c r="Y65" i="11"/>
  <c r="Y83" i="11" s="1"/>
  <c r="Y62" i="11"/>
  <c r="Y80" i="11" s="1"/>
  <c r="Y64" i="11"/>
  <c r="Y82" i="11" s="1"/>
  <c r="AG64" i="11"/>
  <c r="AG73" i="11" s="1"/>
  <c r="AG65" i="11"/>
  <c r="AG83" i="11" s="1"/>
  <c r="AG67" i="11"/>
  <c r="AG76" i="11" s="1"/>
  <c r="AG62" i="11"/>
  <c r="AG71" i="11" s="1"/>
  <c r="AG66" i="11"/>
  <c r="AG84" i="11" s="1"/>
  <c r="AP63" i="11"/>
  <c r="AP72" i="11" s="1"/>
  <c r="AL75" i="11"/>
  <c r="AP66" i="11"/>
  <c r="AP84" i="11" s="1"/>
  <c r="AP62" i="11"/>
  <c r="AP80" i="11" s="1"/>
  <c r="AP64" i="11"/>
  <c r="AP73" i="11" s="1"/>
  <c r="X63" i="11"/>
  <c r="X72" i="11" s="1"/>
  <c r="AP65" i="11"/>
  <c r="AP74" i="11" s="1"/>
  <c r="X65" i="11"/>
  <c r="X74" i="11" s="1"/>
  <c r="X62" i="11"/>
  <c r="X71" i="11" s="1"/>
  <c r="AL76" i="11"/>
  <c r="X64" i="11"/>
  <c r="X82" i="11" s="1"/>
  <c r="X67" i="11"/>
  <c r="X76" i="11" s="1"/>
  <c r="AL80" i="11"/>
  <c r="AL74" i="11"/>
  <c r="AL73" i="11"/>
  <c r="I54" i="11"/>
  <c r="I78" i="11" s="1"/>
  <c r="J78" i="11" s="1"/>
  <c r="V85" i="11"/>
  <c r="V76" i="11"/>
  <c r="X84" i="11"/>
  <c r="X75" i="11"/>
  <c r="AW85" i="11"/>
  <c r="AW76" i="11"/>
  <c r="V73" i="11"/>
  <c r="V82" i="11"/>
  <c r="AJ80" i="11"/>
  <c r="AJ71" i="11"/>
  <c r="AK65" i="11"/>
  <c r="AK67" i="11"/>
  <c r="AK63" i="11"/>
  <c r="AK62" i="11"/>
  <c r="AK66" i="11"/>
  <c r="AK64" i="11"/>
  <c r="AI74" i="11"/>
  <c r="AI83" i="11"/>
  <c r="AA73" i="11"/>
  <c r="AA82" i="11"/>
  <c r="AJ82" i="11"/>
  <c r="AJ73" i="11"/>
  <c r="AX85" i="11"/>
  <c r="AX76" i="11"/>
  <c r="AI85" i="11"/>
  <c r="AI76" i="11"/>
  <c r="AJ81" i="11"/>
  <c r="AJ72" i="11"/>
  <c r="AJ76" i="11"/>
  <c r="AJ85" i="11"/>
  <c r="AX80" i="11"/>
  <c r="AX71" i="11"/>
  <c r="AB63" i="11"/>
  <c r="AB66" i="11"/>
  <c r="AB65" i="11"/>
  <c r="AB62" i="11"/>
  <c r="AB67" i="11"/>
  <c r="AB64" i="11"/>
  <c r="AX72" i="11"/>
  <c r="AX81" i="11"/>
  <c r="V81" i="11"/>
  <c r="V72" i="11"/>
  <c r="AR83" i="11"/>
  <c r="AR74" i="11"/>
  <c r="Z64" i="11"/>
  <c r="Z62" i="11"/>
  <c r="Z63" i="11"/>
  <c r="Z65" i="11"/>
  <c r="Z66" i="11"/>
  <c r="Z67" i="11"/>
  <c r="AW81" i="11"/>
  <c r="AW72" i="11"/>
  <c r="AX74" i="11"/>
  <c r="AX83" i="11"/>
  <c r="AV66" i="11"/>
  <c r="AV65" i="11"/>
  <c r="AV67" i="11"/>
  <c r="AV62" i="11"/>
  <c r="AV64" i="11"/>
  <c r="AV63" i="11"/>
  <c r="AU66" i="11"/>
  <c r="AU64" i="11"/>
  <c r="AU65" i="11"/>
  <c r="AU67" i="11"/>
  <c r="AU63" i="11"/>
  <c r="AU62" i="11"/>
  <c r="AW73" i="11"/>
  <c r="AW82" i="11"/>
  <c r="V74" i="11"/>
  <c r="V83" i="11"/>
  <c r="AM64" i="11"/>
  <c r="AM65" i="11"/>
  <c r="AM67" i="11"/>
  <c r="AM66" i="11"/>
  <c r="AM63" i="11"/>
  <c r="AM62" i="11"/>
  <c r="AC63" i="11"/>
  <c r="AC62" i="11"/>
  <c r="AC67" i="11"/>
  <c r="AC64" i="11"/>
  <c r="AC66" i="11"/>
  <c r="AC65" i="11"/>
  <c r="AO67" i="11"/>
  <c r="AO66" i="11"/>
  <c r="AO63" i="11"/>
  <c r="AO64" i="11"/>
  <c r="AO65" i="11"/>
  <c r="AO62" i="11"/>
  <c r="AI71" i="11"/>
  <c r="AI80" i="11"/>
  <c r="AT67" i="11"/>
  <c r="AT62" i="11"/>
  <c r="AT63" i="11"/>
  <c r="AT64" i="11"/>
  <c r="AT66" i="11"/>
  <c r="AT65" i="11"/>
  <c r="U35" i="11"/>
  <c r="AW75" i="11"/>
  <c r="AW84" i="11"/>
  <c r="AH66" i="11"/>
  <c r="AH67" i="11"/>
  <c r="AH65" i="11"/>
  <c r="AH64" i="11"/>
  <c r="AH63" i="11"/>
  <c r="AH62" i="11"/>
  <c r="AI73" i="11"/>
  <c r="AI82" i="11"/>
  <c r="AA85" i="11"/>
  <c r="AA76" i="11"/>
  <c r="AS67" i="11"/>
  <c r="AS62" i="11"/>
  <c r="AS63" i="11"/>
  <c r="AS64" i="11"/>
  <c r="AS65" i="11"/>
  <c r="AS66" i="11"/>
  <c r="Y85" i="11"/>
  <c r="Y76" i="11"/>
  <c r="AQ63" i="11"/>
  <c r="AQ62" i="11"/>
  <c r="AQ64" i="11"/>
  <c r="AQ66" i="11"/>
  <c r="AQ67" i="11"/>
  <c r="AQ65" i="11"/>
  <c r="AA81" i="11"/>
  <c r="AA72" i="11"/>
  <c r="AX73" i="11"/>
  <c r="AX82" i="11"/>
  <c r="AG81" i="11"/>
  <c r="AG72" i="11"/>
  <c r="AA71" i="11"/>
  <c r="AA80" i="11"/>
  <c r="AJ74" i="11"/>
  <c r="AJ83" i="11"/>
  <c r="AX75" i="11"/>
  <c r="AX84" i="11"/>
  <c r="V75" i="11"/>
  <c r="V84" i="11"/>
  <c r="AW74" i="11"/>
  <c r="AW83" i="11"/>
  <c r="V80" i="11"/>
  <c r="V71" i="11"/>
  <c r="AP76" i="11"/>
  <c r="AP85" i="11"/>
  <c r="AD63" i="11"/>
  <c r="AD64" i="11"/>
  <c r="AD67" i="11"/>
  <c r="AD66" i="11"/>
  <c r="AD65" i="11"/>
  <c r="AD62" i="11"/>
  <c r="AF67" i="11"/>
  <c r="AF62" i="11"/>
  <c r="AF66" i="11"/>
  <c r="AF65" i="11"/>
  <c r="AF64" i="11"/>
  <c r="AF63" i="11"/>
  <c r="AW71" i="11"/>
  <c r="AW80" i="11"/>
  <c r="AA83" i="11"/>
  <c r="AA74" i="11"/>
  <c r="U65" i="11"/>
  <c r="U66" i="11"/>
  <c r="U64" i="11"/>
  <c r="U62" i="11"/>
  <c r="U63" i="11"/>
  <c r="U67" i="11"/>
  <c r="W65" i="11"/>
  <c r="W64" i="11"/>
  <c r="W66" i="11"/>
  <c r="W67" i="11"/>
  <c r="W62" i="11"/>
  <c r="W63" i="11"/>
  <c r="AI75" i="11"/>
  <c r="AI84" i="11"/>
  <c r="AA84" i="11"/>
  <c r="AA75" i="11"/>
  <c r="AJ84" i="11"/>
  <c r="AJ75" i="11"/>
  <c r="AE67" i="11"/>
  <c r="AE62" i="11"/>
  <c r="AE64" i="11"/>
  <c r="AE66" i="11"/>
  <c r="AE65" i="11"/>
  <c r="AE63" i="11"/>
  <c r="AI72" i="11"/>
  <c r="AI81" i="11"/>
  <c r="W37" i="5"/>
  <c r="W42" i="5" s="1"/>
  <c r="O8" i="5"/>
  <c r="W36" i="5" s="1"/>
  <c r="C47" i="5"/>
  <c r="D47" i="5" s="1"/>
  <c r="W62" i="5"/>
  <c r="W67" i="5" s="1"/>
  <c r="W85" i="5" s="1"/>
  <c r="O38" i="4"/>
  <c r="AP26" i="5"/>
  <c r="AP62" i="5" s="1"/>
  <c r="Z9" i="3"/>
  <c r="AD37" i="5"/>
  <c r="AD42" i="5" s="1"/>
  <c r="X37" i="5"/>
  <c r="X42" i="5" s="1"/>
  <c r="O20" i="5"/>
  <c r="AI36" i="5" s="1"/>
  <c r="AI27" i="5"/>
  <c r="AJ26" i="5"/>
  <c r="AJ62" i="5" s="1"/>
  <c r="O25" i="5"/>
  <c r="AN36" i="5" s="1"/>
  <c r="I56" i="3"/>
  <c r="J56" i="3" s="1"/>
  <c r="J57" i="3" s="1"/>
  <c r="I59" i="4"/>
  <c r="J59" i="4" s="1"/>
  <c r="J60" i="4" s="1"/>
  <c r="O28" i="5"/>
  <c r="AQ36" i="5" s="1"/>
  <c r="AQ62" i="5"/>
  <c r="AQ68" i="5" s="1"/>
  <c r="AQ86" i="5" s="1"/>
  <c r="AN62" i="5"/>
  <c r="AN67" i="5" s="1"/>
  <c r="AN85" i="5" s="1"/>
  <c r="Z75" i="3"/>
  <c r="Z76" i="3" s="1"/>
  <c r="AU27" i="5"/>
  <c r="O32" i="5"/>
  <c r="AU36" i="5" s="1"/>
  <c r="O15" i="5"/>
  <c r="AD36" i="5" s="1"/>
  <c r="Z27" i="5"/>
  <c r="O11" i="5"/>
  <c r="Z36" i="5" s="1"/>
  <c r="AV26" i="5"/>
  <c r="AV62" i="5" s="1"/>
  <c r="AB27" i="5"/>
  <c r="AB62" i="5"/>
  <c r="AB65" i="5" s="1"/>
  <c r="AB83" i="5" s="1"/>
  <c r="AA9" i="3"/>
  <c r="AL63" i="5"/>
  <c r="AL81" i="5" s="1"/>
  <c r="AL67" i="5"/>
  <c r="AL85" i="5" s="1"/>
  <c r="AL68" i="5"/>
  <c r="AL86" i="5" s="1"/>
  <c r="AL64" i="5"/>
  <c r="AL82" i="5" s="1"/>
  <c r="AL65" i="5"/>
  <c r="AL83" i="5" s="1"/>
  <c r="AL66" i="5"/>
  <c r="AL84" i="5" s="1"/>
  <c r="AS62" i="5"/>
  <c r="O30" i="5"/>
  <c r="AS36" i="5" s="1"/>
  <c r="AS27" i="5"/>
  <c r="O17" i="5"/>
  <c r="AF36" i="5" s="1"/>
  <c r="AF62" i="5"/>
  <c r="AF27" i="5"/>
  <c r="AB12" i="3"/>
  <c r="AG68" i="5"/>
  <c r="AG86" i="5" s="1"/>
  <c r="AG66" i="5"/>
  <c r="AG84" i="5" s="1"/>
  <c r="AG67" i="5"/>
  <c r="AG85" i="5" s="1"/>
  <c r="AG63" i="5"/>
  <c r="AG81" i="5" s="1"/>
  <c r="AG65" i="5"/>
  <c r="AG83" i="5" s="1"/>
  <c r="AG64" i="5"/>
  <c r="AG82" i="5" s="1"/>
  <c r="O19" i="5"/>
  <c r="AH36" i="5" s="1"/>
  <c r="AH62" i="5"/>
  <c r="AB19" i="3"/>
  <c r="AA73" i="3"/>
  <c r="AE64" i="5"/>
  <c r="AE82" i="5" s="1"/>
  <c r="AE66" i="5"/>
  <c r="AE84" i="5" s="1"/>
  <c r="AE63" i="5"/>
  <c r="AE81" i="5" s="1"/>
  <c r="AE68" i="5"/>
  <c r="AE86" i="5" s="1"/>
  <c r="AE65" i="5"/>
  <c r="AE83" i="5" s="1"/>
  <c r="AE67" i="5"/>
  <c r="AE85" i="5" s="1"/>
  <c r="AI67" i="5"/>
  <c r="AI85" i="5" s="1"/>
  <c r="AI63" i="5"/>
  <c r="AI81" i="5" s="1"/>
  <c r="AI64" i="5"/>
  <c r="AI82" i="5" s="1"/>
  <c r="AI68" i="5"/>
  <c r="AI86" i="5" s="1"/>
  <c r="AI65" i="5"/>
  <c r="AI83" i="5" s="1"/>
  <c r="AI66" i="5"/>
  <c r="AI84" i="5" s="1"/>
  <c r="AU68" i="5"/>
  <c r="AU86" i="5" s="1"/>
  <c r="AU67" i="5"/>
  <c r="AU85" i="5" s="1"/>
  <c r="AU66" i="5"/>
  <c r="AU84" i="5" s="1"/>
  <c r="AU63" i="5"/>
  <c r="AU81" i="5" s="1"/>
  <c r="AU65" i="5"/>
  <c r="AU83" i="5" s="1"/>
  <c r="AU64" i="5"/>
  <c r="AU82" i="5" s="1"/>
  <c r="AB8" i="3"/>
  <c r="AC6" i="3"/>
  <c r="AB7" i="3"/>
  <c r="AD66" i="5"/>
  <c r="AD84" i="5" s="1"/>
  <c r="AD63" i="5"/>
  <c r="AD81" i="5" s="1"/>
  <c r="AD68" i="5"/>
  <c r="AD86" i="5" s="1"/>
  <c r="AD67" i="5"/>
  <c r="AD85" i="5" s="1"/>
  <c r="AD65" i="5"/>
  <c r="AD83" i="5" s="1"/>
  <c r="AD64" i="5"/>
  <c r="AD82" i="5" s="1"/>
  <c r="Z71" i="4"/>
  <c r="Z72" i="4" s="1"/>
  <c r="X62" i="5"/>
  <c r="O9" i="5"/>
  <c r="X36" i="5" s="1"/>
  <c r="AX62" i="5"/>
  <c r="O35" i="5"/>
  <c r="AX36" i="5" s="1"/>
  <c r="AX27" i="5"/>
  <c r="AZ62" i="5"/>
  <c r="O37" i="5"/>
  <c r="AZ36" i="5" s="1"/>
  <c r="AZ27" i="5"/>
  <c r="AY67" i="5"/>
  <c r="AY85" i="5" s="1"/>
  <c r="AY66" i="5"/>
  <c r="AY84" i="5" s="1"/>
  <c r="AY65" i="5"/>
  <c r="AY83" i="5" s="1"/>
  <c r="AY63" i="5"/>
  <c r="AY81" i="5" s="1"/>
  <c r="AY68" i="5"/>
  <c r="AY86" i="5" s="1"/>
  <c r="AY64" i="5"/>
  <c r="AY82" i="5" s="1"/>
  <c r="AB12" i="4"/>
  <c r="I53" i="5"/>
  <c r="J53" i="5" s="1"/>
  <c r="J54" i="5" s="1"/>
  <c r="AM62" i="5"/>
  <c r="O24" i="5"/>
  <c r="AM36" i="5" s="1"/>
  <c r="AM27" i="5"/>
  <c r="AK62" i="5"/>
  <c r="O22" i="5"/>
  <c r="AK36" i="5" s="1"/>
  <c r="AO68" i="5"/>
  <c r="AO86" i="5" s="1"/>
  <c r="AO67" i="5"/>
  <c r="AO85" i="5" s="1"/>
  <c r="AO64" i="5"/>
  <c r="AO82" i="5" s="1"/>
  <c r="AO65" i="5"/>
  <c r="AO83" i="5" s="1"/>
  <c r="AO63" i="5"/>
  <c r="AO81" i="5" s="1"/>
  <c r="AO66" i="5"/>
  <c r="AO84" i="5" s="1"/>
  <c r="O29" i="5"/>
  <c r="AR36" i="5" s="1"/>
  <c r="AR62" i="5"/>
  <c r="AR27" i="5"/>
  <c r="AC65" i="5"/>
  <c r="AC83" i="5" s="1"/>
  <c r="AC63" i="5"/>
  <c r="AC81" i="5" s="1"/>
  <c r="AC66" i="5"/>
  <c r="AC84" i="5" s="1"/>
  <c r="AC67" i="5"/>
  <c r="AC85" i="5" s="1"/>
  <c r="AC68" i="5"/>
  <c r="AC86" i="5" s="1"/>
  <c r="AC64" i="5"/>
  <c r="AC82" i="5" s="1"/>
  <c r="Y68" i="5"/>
  <c r="Y86" i="5" s="1"/>
  <c r="Y67" i="5"/>
  <c r="Y85" i="5" s="1"/>
  <c r="Y64" i="5"/>
  <c r="Y82" i="5" s="1"/>
  <c r="Y66" i="5"/>
  <c r="Y84" i="5" s="1"/>
  <c r="Y63" i="5"/>
  <c r="Y81" i="5" s="1"/>
  <c r="Y65" i="5"/>
  <c r="Y83" i="5" s="1"/>
  <c r="AT68" i="5"/>
  <c r="AT86" i="5" s="1"/>
  <c r="AT65" i="5"/>
  <c r="AT83" i="5" s="1"/>
  <c r="AT66" i="5"/>
  <c r="AT84" i="5" s="1"/>
  <c r="AT64" i="5"/>
  <c r="AT82" i="5" s="1"/>
  <c r="AT63" i="5"/>
  <c r="AT81" i="5" s="1"/>
  <c r="AT67" i="5"/>
  <c r="AT85" i="5" s="1"/>
  <c r="Z66" i="5"/>
  <c r="Z84" i="5" s="1"/>
  <c r="Z65" i="5"/>
  <c r="Z83" i="5" s="1"/>
  <c r="Z64" i="5"/>
  <c r="Z82" i="5" s="1"/>
  <c r="Z63" i="5"/>
  <c r="Z81" i="5" s="1"/>
  <c r="Z67" i="5"/>
  <c r="Z85" i="5" s="1"/>
  <c r="Z68" i="5"/>
  <c r="Z86" i="5" s="1"/>
  <c r="AB20" i="4"/>
  <c r="AA69" i="4"/>
  <c r="O12" i="5"/>
  <c r="AA36" i="5" s="1"/>
  <c r="AA62" i="5"/>
  <c r="AW68" i="5"/>
  <c r="AW86" i="5" s="1"/>
  <c r="AW66" i="5"/>
  <c r="AW84" i="5" s="1"/>
  <c r="AW63" i="5"/>
  <c r="AW81" i="5" s="1"/>
  <c r="AW65" i="5"/>
  <c r="AW83" i="5" s="1"/>
  <c r="AW64" i="5"/>
  <c r="AW82" i="5" s="1"/>
  <c r="AW67" i="5"/>
  <c r="AW85" i="5" s="1"/>
  <c r="AQ48" i="5" l="1"/>
  <c r="AQ77" i="5" s="1"/>
  <c r="AQ44" i="5"/>
  <c r="AQ45" i="5"/>
  <c r="AQ43" i="5"/>
  <c r="AQ47" i="5"/>
  <c r="AQ46" i="5"/>
  <c r="AD43" i="5"/>
  <c r="AD72" i="5" s="1"/>
  <c r="AD47" i="5"/>
  <c r="AD76" i="5" s="1"/>
  <c r="AD46" i="5"/>
  <c r="AD75" i="5" s="1"/>
  <c r="AD44" i="5"/>
  <c r="AD73" i="5" s="1"/>
  <c r="AD45" i="5"/>
  <c r="AD74" i="5" s="1"/>
  <c r="AD48" i="5"/>
  <c r="AD77" i="5" s="1"/>
  <c r="AE44" i="5"/>
  <c r="AE73" i="5" s="1"/>
  <c r="AE47" i="5"/>
  <c r="AE76" i="5" s="1"/>
  <c r="AE48" i="5"/>
  <c r="AE77" i="5" s="1"/>
  <c r="AE46" i="5"/>
  <c r="AE75" i="5" s="1"/>
  <c r="AE43" i="5"/>
  <c r="AE72" i="5" s="1"/>
  <c r="AE45" i="5"/>
  <c r="AE74" i="5" s="1"/>
  <c r="X47" i="5"/>
  <c r="X46" i="5"/>
  <c r="X45" i="5"/>
  <c r="X43" i="5"/>
  <c r="X44" i="5"/>
  <c r="X48" i="5"/>
  <c r="AK44" i="5"/>
  <c r="AK43" i="5"/>
  <c r="AK45" i="5"/>
  <c r="AK48" i="5"/>
  <c r="AK46" i="5"/>
  <c r="AK47" i="5"/>
  <c r="W43" i="5"/>
  <c r="W44" i="5"/>
  <c r="W45" i="5"/>
  <c r="W46" i="5"/>
  <c r="W47" i="5"/>
  <c r="W76" i="5" s="1"/>
  <c r="W48" i="5"/>
  <c r="AC90" i="4"/>
  <c r="AC92" i="4" s="1"/>
  <c r="AD89" i="4" s="1"/>
  <c r="AC19" i="4"/>
  <c r="AF4" i="4"/>
  <c r="AE27" i="4"/>
  <c r="AE28" i="4"/>
  <c r="AB113" i="3"/>
  <c r="AB115" i="3" s="1"/>
  <c r="AC112" i="3" s="1"/>
  <c r="AA89" i="3"/>
  <c r="AA91" i="3" s="1"/>
  <c r="AB88" i="3" s="1"/>
  <c r="AA17" i="3"/>
  <c r="Z17" i="3"/>
  <c r="AF4" i="3"/>
  <c r="AE26" i="3"/>
  <c r="AA68" i="4"/>
  <c r="AA71" i="4" s="1"/>
  <c r="AA72" i="3"/>
  <c r="AA75" i="3" s="1"/>
  <c r="AN65" i="11"/>
  <c r="AN74" i="11" s="1"/>
  <c r="AN67" i="11"/>
  <c r="AN76" i="11" s="1"/>
  <c r="AN66" i="11"/>
  <c r="AN84" i="11" s="1"/>
  <c r="AN64" i="11"/>
  <c r="AN73" i="11" s="1"/>
  <c r="AN63" i="11"/>
  <c r="AN81" i="11" s="1"/>
  <c r="AR75" i="11"/>
  <c r="AR73" i="11"/>
  <c r="AR81" i="11"/>
  <c r="AR76" i="11"/>
  <c r="O38" i="11"/>
  <c r="C39" i="11" s="1"/>
  <c r="D39" i="11" s="1"/>
  <c r="Y74" i="11"/>
  <c r="AR80" i="11"/>
  <c r="Y72" i="11"/>
  <c r="Y75" i="11"/>
  <c r="Y71" i="11"/>
  <c r="AG74" i="11"/>
  <c r="Y73" i="11"/>
  <c r="AG82" i="11"/>
  <c r="AG75" i="11"/>
  <c r="AP81" i="11"/>
  <c r="AP75" i="11"/>
  <c r="AG80" i="11"/>
  <c r="AG85" i="11"/>
  <c r="AP71" i="11"/>
  <c r="X80" i="11"/>
  <c r="AP83" i="11"/>
  <c r="AP82" i="11"/>
  <c r="X83" i="11"/>
  <c r="X81" i="11"/>
  <c r="X73" i="11"/>
  <c r="X85" i="11"/>
  <c r="I73" i="11"/>
  <c r="C15" i="11"/>
  <c r="D15" i="11" s="1"/>
  <c r="AB75" i="11"/>
  <c r="AB84" i="11"/>
  <c r="AS83" i="11"/>
  <c r="AS74" i="11"/>
  <c r="AD71" i="11"/>
  <c r="AD80" i="11"/>
  <c r="AQ84" i="11"/>
  <c r="AQ75" i="11"/>
  <c r="AS82" i="11"/>
  <c r="AS73" i="11"/>
  <c r="AO80" i="11"/>
  <c r="AO71" i="11"/>
  <c r="AM80" i="11"/>
  <c r="AM71" i="11"/>
  <c r="AU80" i="11"/>
  <c r="AU71" i="11"/>
  <c r="AK85" i="11"/>
  <c r="AK76" i="11"/>
  <c r="U74" i="11"/>
  <c r="U83" i="11"/>
  <c r="AD83" i="11"/>
  <c r="AD74" i="11"/>
  <c r="AQ82" i="11"/>
  <c r="AQ73" i="11"/>
  <c r="AS72" i="11"/>
  <c r="AS81" i="11"/>
  <c r="AO83" i="11"/>
  <c r="AO74" i="11"/>
  <c r="AM72" i="11"/>
  <c r="AM81" i="11"/>
  <c r="AU81" i="11"/>
  <c r="AU72" i="11"/>
  <c r="AK74" i="11"/>
  <c r="AK83" i="11"/>
  <c r="AF75" i="11"/>
  <c r="AF84" i="11"/>
  <c r="AB83" i="11"/>
  <c r="AB74" i="11"/>
  <c r="AF76" i="11"/>
  <c r="AF85" i="11"/>
  <c r="AB81" i="11"/>
  <c r="AB72" i="11"/>
  <c r="U75" i="11"/>
  <c r="U84" i="11"/>
  <c r="AO73" i="11"/>
  <c r="AO82" i="11"/>
  <c r="AE74" i="11"/>
  <c r="AE83" i="11"/>
  <c r="W80" i="11"/>
  <c r="W71" i="11"/>
  <c r="AD72" i="11"/>
  <c r="AD81" i="11"/>
  <c r="AO76" i="11"/>
  <c r="AO85" i="11"/>
  <c r="AM82" i="11"/>
  <c r="AM73" i="11"/>
  <c r="AU84" i="11"/>
  <c r="AU75" i="11"/>
  <c r="U72" i="11"/>
  <c r="U81" i="11"/>
  <c r="AT76" i="11"/>
  <c r="AT85" i="11"/>
  <c r="Z73" i="11"/>
  <c r="Z82" i="11"/>
  <c r="AK84" i="11"/>
  <c r="AK75" i="11"/>
  <c r="AF71" i="11"/>
  <c r="AF80" i="11"/>
  <c r="AQ83" i="11"/>
  <c r="AQ74" i="11"/>
  <c r="AQ85" i="11"/>
  <c r="AQ76" i="11"/>
  <c r="AD84" i="11"/>
  <c r="AD75" i="11"/>
  <c r="AQ71" i="11"/>
  <c r="AQ80" i="11"/>
  <c r="AU85" i="11"/>
  <c r="AU76" i="11"/>
  <c r="AD85" i="11"/>
  <c r="AD76" i="11"/>
  <c r="AS76" i="11"/>
  <c r="AS85" i="11"/>
  <c r="AO81" i="11"/>
  <c r="AO72" i="11"/>
  <c r="AU83" i="11"/>
  <c r="AU74" i="11"/>
  <c r="AE72" i="11"/>
  <c r="AE81" i="11"/>
  <c r="AD82" i="11"/>
  <c r="AD73" i="11"/>
  <c r="AO75" i="11"/>
  <c r="AO84" i="11"/>
  <c r="AU73" i="11"/>
  <c r="AU82" i="11"/>
  <c r="AE84" i="11"/>
  <c r="AE75" i="11"/>
  <c r="AC83" i="11"/>
  <c r="AC74" i="11"/>
  <c r="AV81" i="11"/>
  <c r="AV72" i="11"/>
  <c r="Z85" i="11"/>
  <c r="Z76" i="11"/>
  <c r="W75" i="11"/>
  <c r="W84" i="11"/>
  <c r="AT84" i="11"/>
  <c r="AT75" i="11"/>
  <c r="Z84" i="11"/>
  <c r="Z75" i="11"/>
  <c r="AF72" i="11"/>
  <c r="AF81" i="11"/>
  <c r="AT82" i="11"/>
  <c r="AT73" i="11"/>
  <c r="AC73" i="11"/>
  <c r="AC82" i="11"/>
  <c r="AV71" i="11"/>
  <c r="AV80" i="11"/>
  <c r="Z83" i="11"/>
  <c r="Z74" i="11"/>
  <c r="AB73" i="11"/>
  <c r="AB82" i="11"/>
  <c r="AE76" i="11"/>
  <c r="AE85" i="11"/>
  <c r="W74" i="11"/>
  <c r="W83" i="11"/>
  <c r="AF82" i="11"/>
  <c r="AF73" i="11"/>
  <c r="AH81" i="11"/>
  <c r="AH72" i="11"/>
  <c r="AT81" i="11"/>
  <c r="AT72" i="11"/>
  <c r="AC85" i="11"/>
  <c r="AC76" i="11"/>
  <c r="AV85" i="11"/>
  <c r="AV76" i="11"/>
  <c r="Z81" i="11"/>
  <c r="Z72" i="11"/>
  <c r="AB85" i="11"/>
  <c r="AB76" i="11"/>
  <c r="AH83" i="11"/>
  <c r="AH74" i="11"/>
  <c r="AC72" i="11"/>
  <c r="AC81" i="11"/>
  <c r="AV75" i="11"/>
  <c r="AV84" i="11"/>
  <c r="U71" i="11"/>
  <c r="U80" i="11"/>
  <c r="AS84" i="11"/>
  <c r="AS75" i="11"/>
  <c r="AH85" i="11"/>
  <c r="AH76" i="11"/>
  <c r="AK80" i="11"/>
  <c r="AK71" i="11"/>
  <c r="U73" i="11"/>
  <c r="U82" i="11"/>
  <c r="AH75" i="11"/>
  <c r="AH84" i="11"/>
  <c r="AK72" i="11"/>
  <c r="AK81" i="11"/>
  <c r="AS71" i="11"/>
  <c r="AS80" i="11"/>
  <c r="AM84" i="11"/>
  <c r="AM75" i="11"/>
  <c r="AQ72" i="11"/>
  <c r="AQ81" i="11"/>
  <c r="AM76" i="11"/>
  <c r="AM85" i="11"/>
  <c r="W72" i="11"/>
  <c r="W81" i="11"/>
  <c r="AN80" i="11"/>
  <c r="AN71" i="11"/>
  <c r="AM83" i="11"/>
  <c r="AM74" i="11"/>
  <c r="W76" i="11"/>
  <c r="W85" i="11"/>
  <c r="AT74" i="11"/>
  <c r="AT83" i="11"/>
  <c r="AE82" i="11"/>
  <c r="AE73" i="11"/>
  <c r="AC75" i="11"/>
  <c r="AC84" i="11"/>
  <c r="AV73" i="11"/>
  <c r="AV82" i="11"/>
  <c r="AE71" i="11"/>
  <c r="AE80" i="11"/>
  <c r="W82" i="11"/>
  <c r="W73" i="11"/>
  <c r="AH71" i="11"/>
  <c r="AH80" i="11"/>
  <c r="U85" i="11"/>
  <c r="U76" i="11"/>
  <c r="AF74" i="11"/>
  <c r="AF83" i="11"/>
  <c r="AH73" i="11"/>
  <c r="AH82" i="11"/>
  <c r="AT80" i="11"/>
  <c r="AT71" i="11"/>
  <c r="AC71" i="11"/>
  <c r="AC80" i="11"/>
  <c r="AV74" i="11"/>
  <c r="AV83" i="11"/>
  <c r="Z71" i="11"/>
  <c r="Z80" i="11"/>
  <c r="AB71" i="11"/>
  <c r="AB80" i="11"/>
  <c r="AK82" i="11"/>
  <c r="AK73" i="11"/>
  <c r="W68" i="5"/>
  <c r="W86" i="5" s="1"/>
  <c r="W65" i="5"/>
  <c r="W83" i="5" s="1"/>
  <c r="W66" i="5"/>
  <c r="W84" i="5" s="1"/>
  <c r="W64" i="5"/>
  <c r="W82" i="5" s="1"/>
  <c r="W63" i="5"/>
  <c r="W81" i="5" s="1"/>
  <c r="Z6" i="4"/>
  <c r="O27" i="5"/>
  <c r="AP36" i="5" s="1"/>
  <c r="AN63" i="5"/>
  <c r="AN81" i="5" s="1"/>
  <c r="I57" i="3"/>
  <c r="I81" i="3" s="1"/>
  <c r="AN66" i="5"/>
  <c r="AN84" i="5" s="1"/>
  <c r="AN65" i="5"/>
  <c r="AN83" i="5" s="1"/>
  <c r="AQ64" i="5"/>
  <c r="AQ82" i="5" s="1"/>
  <c r="AQ66" i="5"/>
  <c r="AQ84" i="5" s="1"/>
  <c r="O21" i="5"/>
  <c r="AJ36" i="5" s="1"/>
  <c r="AQ63" i="5"/>
  <c r="AQ81" i="5" s="1"/>
  <c r="AQ65" i="5"/>
  <c r="AQ83" i="5" s="1"/>
  <c r="AQ67" i="5"/>
  <c r="AQ85" i="5" s="1"/>
  <c r="I60" i="4"/>
  <c r="I85" i="4" s="1"/>
  <c r="J85" i="4" s="1"/>
  <c r="AB63" i="5"/>
  <c r="AB81" i="5" s="1"/>
  <c r="AN68" i="5"/>
  <c r="AN86" i="5" s="1"/>
  <c r="AN64" i="5"/>
  <c r="AN82" i="5" s="1"/>
  <c r="O33" i="5"/>
  <c r="AV36" i="5" s="1"/>
  <c r="AB64" i="5"/>
  <c r="AB82" i="5" s="1"/>
  <c r="AB66" i="5"/>
  <c r="AB84" i="5" s="1"/>
  <c r="AB67" i="5"/>
  <c r="AB85" i="5" s="1"/>
  <c r="AB68" i="5"/>
  <c r="AB86" i="5" s="1"/>
  <c r="AB9" i="3"/>
  <c r="AW77" i="5"/>
  <c r="Z76" i="5"/>
  <c r="AO75" i="5"/>
  <c r="AP65" i="5"/>
  <c r="AP83" i="5" s="1"/>
  <c r="AP64" i="5"/>
  <c r="AP82" i="5" s="1"/>
  <c r="AP67" i="5"/>
  <c r="AP85" i="5" s="1"/>
  <c r="AP68" i="5"/>
  <c r="AP86" i="5" s="1"/>
  <c r="AP63" i="5"/>
  <c r="AP81" i="5" s="1"/>
  <c r="AP66" i="5"/>
  <c r="AP84" i="5" s="1"/>
  <c r="Z72" i="5"/>
  <c r="Y74" i="5"/>
  <c r="AA66" i="5"/>
  <c r="AA84" i="5" s="1"/>
  <c r="AA68" i="5"/>
  <c r="AA86" i="5" s="1"/>
  <c r="AA64" i="5"/>
  <c r="AA82" i="5" s="1"/>
  <c r="AA63" i="5"/>
  <c r="AA81" i="5" s="1"/>
  <c r="AA67" i="5"/>
  <c r="AA85" i="5" s="1"/>
  <c r="AA65" i="5"/>
  <c r="AA83" i="5" s="1"/>
  <c r="AL75" i="5"/>
  <c r="Z74" i="5"/>
  <c r="Y75" i="5"/>
  <c r="Z75" i="5"/>
  <c r="Y73" i="5"/>
  <c r="AC12" i="4"/>
  <c r="AL73" i="5"/>
  <c r="AT76" i="5"/>
  <c r="Y76" i="5"/>
  <c r="AI75" i="5"/>
  <c r="AI74" i="5"/>
  <c r="AL76" i="5"/>
  <c r="AT73" i="5"/>
  <c r="AC73" i="5"/>
  <c r="AV63" i="5"/>
  <c r="AV81" i="5" s="1"/>
  <c r="AV64" i="5"/>
  <c r="AV82" i="5" s="1"/>
  <c r="AV66" i="5"/>
  <c r="AV84" i="5" s="1"/>
  <c r="AV67" i="5"/>
  <c r="AV85" i="5" s="1"/>
  <c r="AV65" i="5"/>
  <c r="AV83" i="5" s="1"/>
  <c r="AV68" i="5"/>
  <c r="AV86" i="5" s="1"/>
  <c r="AI77" i="5"/>
  <c r="AL72" i="5"/>
  <c r="AT75" i="5"/>
  <c r="AC77" i="5"/>
  <c r="AI73" i="5"/>
  <c r="AC12" i="3"/>
  <c r="AT74" i="5"/>
  <c r="AC76" i="5"/>
  <c r="AI72" i="5"/>
  <c r="AR68" i="5"/>
  <c r="AR86" i="5" s="1"/>
  <c r="AR67" i="5"/>
  <c r="AR85" i="5" s="1"/>
  <c r="AR65" i="5"/>
  <c r="AR83" i="5" s="1"/>
  <c r="AR64" i="5"/>
  <c r="AR82" i="5" s="1"/>
  <c r="AR63" i="5"/>
  <c r="AR81" i="5" s="1"/>
  <c r="AR66" i="5"/>
  <c r="AR84" i="5" s="1"/>
  <c r="AB74" i="5"/>
  <c r="AY74" i="5"/>
  <c r="AU73" i="5"/>
  <c r="AI76" i="5"/>
  <c r="AF68" i="5"/>
  <c r="AF86" i="5" s="1"/>
  <c r="AF65" i="5"/>
  <c r="AF83" i="5" s="1"/>
  <c r="AF67" i="5"/>
  <c r="AF85" i="5" s="1"/>
  <c r="AF66" i="5"/>
  <c r="AF84" i="5" s="1"/>
  <c r="AF63" i="5"/>
  <c r="AF81" i="5" s="1"/>
  <c r="AF64" i="5"/>
  <c r="AF82" i="5" s="1"/>
  <c r="AH63" i="5"/>
  <c r="AH81" i="5" s="1"/>
  <c r="AH68" i="5"/>
  <c r="AH86" i="5" s="1"/>
  <c r="AH65" i="5"/>
  <c r="AH83" i="5" s="1"/>
  <c r="AH66" i="5"/>
  <c r="AH84" i="5" s="1"/>
  <c r="AH67" i="5"/>
  <c r="AH85" i="5" s="1"/>
  <c r="AH64" i="5"/>
  <c r="AH82" i="5" s="1"/>
  <c r="AO72" i="5"/>
  <c r="Y72" i="5"/>
  <c r="AO74" i="5"/>
  <c r="AG73" i="5"/>
  <c r="X65" i="5"/>
  <c r="X83" i="5" s="1"/>
  <c r="X68" i="5"/>
  <c r="X86" i="5" s="1"/>
  <c r="X67" i="5"/>
  <c r="X85" i="5" s="1"/>
  <c r="X64" i="5"/>
  <c r="X82" i="5" s="1"/>
  <c r="X66" i="5"/>
  <c r="X84" i="5" s="1"/>
  <c r="X63" i="5"/>
  <c r="X81" i="5" s="1"/>
  <c r="AG74" i="5"/>
  <c r="AL74" i="5"/>
  <c r="AO76" i="5"/>
  <c r="AZ64" i="5"/>
  <c r="AZ82" i="5" s="1"/>
  <c r="AZ66" i="5"/>
  <c r="AZ84" i="5" s="1"/>
  <c r="AZ63" i="5"/>
  <c r="AZ81" i="5" s="1"/>
  <c r="AZ65" i="5"/>
  <c r="AZ83" i="5" s="1"/>
  <c r="AZ68" i="5"/>
  <c r="AZ86" i="5" s="1"/>
  <c r="AZ67" i="5"/>
  <c r="AZ85" i="5" s="1"/>
  <c r="AG72" i="5"/>
  <c r="AO77" i="5"/>
  <c r="AM64" i="5"/>
  <c r="AM82" i="5" s="1"/>
  <c r="AM66" i="5"/>
  <c r="AM84" i="5" s="1"/>
  <c r="AM63" i="5"/>
  <c r="AM81" i="5" s="1"/>
  <c r="AM68" i="5"/>
  <c r="AM86" i="5" s="1"/>
  <c r="AM65" i="5"/>
  <c r="AM83" i="5" s="1"/>
  <c r="AM67" i="5"/>
  <c r="AM85" i="5" s="1"/>
  <c r="AG76" i="5"/>
  <c r="AL77" i="5"/>
  <c r="AT72" i="5"/>
  <c r="Y77" i="5"/>
  <c r="AG75" i="5"/>
  <c r="AS64" i="5"/>
  <c r="AS82" i="5" s="1"/>
  <c r="AS67" i="5"/>
  <c r="AS85" i="5" s="1"/>
  <c r="AS66" i="5"/>
  <c r="AS84" i="5" s="1"/>
  <c r="AS68" i="5"/>
  <c r="AS86" i="5" s="1"/>
  <c r="AS65" i="5"/>
  <c r="AS83" i="5" s="1"/>
  <c r="AS63" i="5"/>
  <c r="AS81" i="5" s="1"/>
  <c r="AY73" i="5"/>
  <c r="AG77" i="5"/>
  <c r="AY77" i="5"/>
  <c r="AW76" i="5"/>
  <c r="AY72" i="5"/>
  <c r="AW73" i="5"/>
  <c r="AT77" i="5"/>
  <c r="AC75" i="5"/>
  <c r="AK67" i="5"/>
  <c r="AK85" i="5" s="1"/>
  <c r="AK64" i="5"/>
  <c r="AK82" i="5" s="1"/>
  <c r="AK63" i="5"/>
  <c r="AK81" i="5" s="1"/>
  <c r="AK65" i="5"/>
  <c r="AK83" i="5" s="1"/>
  <c r="AK66" i="5"/>
  <c r="AK84" i="5" s="1"/>
  <c r="AK68" i="5"/>
  <c r="AK86" i="5" s="1"/>
  <c r="AW74" i="5"/>
  <c r="AB69" i="4"/>
  <c r="AC20" i="4"/>
  <c r="AC72" i="5"/>
  <c r="I54" i="5"/>
  <c r="I78" i="5" s="1"/>
  <c r="J78" i="5" s="1"/>
  <c r="AY75" i="5"/>
  <c r="AU74" i="5"/>
  <c r="AU76" i="5"/>
  <c r="AU77" i="5"/>
  <c r="Z73" i="5"/>
  <c r="AJ66" i="5"/>
  <c r="AJ84" i="5" s="1"/>
  <c r="AJ65" i="5"/>
  <c r="AJ83" i="5" s="1"/>
  <c r="AJ68" i="5"/>
  <c r="AJ86" i="5" s="1"/>
  <c r="AJ67" i="5"/>
  <c r="AJ85" i="5" s="1"/>
  <c r="AJ64" i="5"/>
  <c r="AJ82" i="5" s="1"/>
  <c r="AJ63" i="5"/>
  <c r="AJ81" i="5" s="1"/>
  <c r="AN76" i="5"/>
  <c r="AO73" i="5"/>
  <c r="AW72" i="5"/>
  <c r="AC74" i="5"/>
  <c r="AY76" i="5"/>
  <c r="AD6" i="3"/>
  <c r="AC8" i="3"/>
  <c r="AC7" i="3"/>
  <c r="AU72" i="5"/>
  <c r="AC19" i="3"/>
  <c r="AB73" i="3"/>
  <c r="AW75" i="5"/>
  <c r="Z77" i="5"/>
  <c r="AX67" i="5"/>
  <c r="AX85" i="5" s="1"/>
  <c r="AX66" i="5"/>
  <c r="AX84" i="5" s="1"/>
  <c r="AX63" i="5"/>
  <c r="AX81" i="5" s="1"/>
  <c r="AX64" i="5"/>
  <c r="AX82" i="5" s="1"/>
  <c r="AX68" i="5"/>
  <c r="AX86" i="5" s="1"/>
  <c r="AX65" i="5"/>
  <c r="AX83" i="5" s="1"/>
  <c r="AU75" i="5"/>
  <c r="AD90" i="4" l="1"/>
  <c r="AD92" i="4" s="1"/>
  <c r="AE89" i="4" s="1"/>
  <c r="AD19" i="4"/>
  <c r="AG4" i="4"/>
  <c r="AF28" i="4"/>
  <c r="AF27" i="4"/>
  <c r="AC113" i="3"/>
  <c r="AC115" i="3" s="1"/>
  <c r="AD112" i="3" s="1"/>
  <c r="AB89" i="3"/>
  <c r="AB91" i="3" s="1"/>
  <c r="AC88" i="3" s="1"/>
  <c r="Z21" i="3"/>
  <c r="I76" i="3" s="1"/>
  <c r="AA21" i="3"/>
  <c r="AA23" i="3" s="1"/>
  <c r="AB17" i="3"/>
  <c r="AG4" i="3"/>
  <c r="AF26" i="3"/>
  <c r="AB68" i="4"/>
  <c r="AB71" i="4" s="1"/>
  <c r="AA72" i="4"/>
  <c r="AB72" i="3"/>
  <c r="AB75" i="3" s="1"/>
  <c r="AA76" i="3"/>
  <c r="C40" i="11"/>
  <c r="E39" i="11" s="1"/>
  <c r="E40" i="11" s="1"/>
  <c r="E28" i="1"/>
  <c r="J81" i="3"/>
  <c r="AN82" i="11"/>
  <c r="AN83" i="11"/>
  <c r="AN85" i="11"/>
  <c r="AN72" i="11"/>
  <c r="AN75" i="11"/>
  <c r="I80" i="11"/>
  <c r="J73" i="11"/>
  <c r="J80" i="11" s="1"/>
  <c r="J86" i="11" s="1"/>
  <c r="AN77" i="5"/>
  <c r="W75" i="5"/>
  <c r="AQ73" i="5"/>
  <c r="AB73" i="5"/>
  <c r="AQ74" i="5"/>
  <c r="AB72" i="5"/>
  <c r="W74" i="5"/>
  <c r="W73" i="5"/>
  <c r="W72" i="5"/>
  <c r="W77" i="5"/>
  <c r="AN75" i="5"/>
  <c r="Z7" i="4"/>
  <c r="Z8" i="4"/>
  <c r="AA6" i="4"/>
  <c r="AN72" i="5"/>
  <c r="C16" i="4"/>
  <c r="D16" i="4" s="1"/>
  <c r="AQ72" i="5"/>
  <c r="AN74" i="5"/>
  <c r="C15" i="3"/>
  <c r="D15" i="3" s="1"/>
  <c r="AQ75" i="5"/>
  <c r="AN73" i="5"/>
  <c r="AQ76" i="5"/>
  <c r="O38" i="5"/>
  <c r="C39" i="5" s="1"/>
  <c r="D39" i="5" s="1"/>
  <c r="AB77" i="5"/>
  <c r="AB76" i="5"/>
  <c r="AB75" i="5"/>
  <c r="AC9" i="3"/>
  <c r="AD19" i="3"/>
  <c r="AC73" i="3"/>
  <c r="AF74" i="5"/>
  <c r="AX76" i="5"/>
  <c r="X74" i="5"/>
  <c r="AP77" i="5"/>
  <c r="AJ72" i="5"/>
  <c r="AK77" i="5"/>
  <c r="AJ73" i="5"/>
  <c r="AS73" i="5"/>
  <c r="AH73" i="5"/>
  <c r="AP74" i="5"/>
  <c r="AJ76" i="5"/>
  <c r="AK74" i="5"/>
  <c r="AH76" i="5"/>
  <c r="AH75" i="5"/>
  <c r="AV76" i="5"/>
  <c r="AA76" i="5"/>
  <c r="AJ74" i="5"/>
  <c r="AK73" i="5"/>
  <c r="AZ72" i="5"/>
  <c r="AV75" i="5"/>
  <c r="AA72" i="5"/>
  <c r="AK76" i="5"/>
  <c r="AM76" i="5"/>
  <c r="AZ75" i="5"/>
  <c r="AH77" i="5"/>
  <c r="AR75" i="5"/>
  <c r="AV73" i="5"/>
  <c r="AM74" i="5"/>
  <c r="AV72" i="5"/>
  <c r="AA77" i="5"/>
  <c r="AX74" i="5"/>
  <c r="X72" i="5"/>
  <c r="AF73" i="5"/>
  <c r="AR73" i="5"/>
  <c r="AA75" i="5"/>
  <c r="AX77" i="5"/>
  <c r="AM72" i="5"/>
  <c r="X75" i="5"/>
  <c r="AF72" i="5"/>
  <c r="AR74" i="5"/>
  <c r="AS74" i="5"/>
  <c r="AP76" i="5"/>
  <c r="AK75" i="5"/>
  <c r="AK72" i="5"/>
  <c r="AD12" i="4"/>
  <c r="AD8" i="3"/>
  <c r="AE6" i="3"/>
  <c r="AD7" i="3"/>
  <c r="AF75" i="5"/>
  <c r="AX75" i="5"/>
  <c r="X77" i="5"/>
  <c r="AP72" i="5"/>
  <c r="AS77" i="5"/>
  <c r="AF77" i="5"/>
  <c r="AS75" i="5"/>
  <c r="AD12" i="3"/>
  <c r="AS76" i="5"/>
  <c r="AP73" i="5"/>
  <c r="AZ76" i="5"/>
  <c r="AV77" i="5"/>
  <c r="AZ77" i="5"/>
  <c r="AV74" i="5"/>
  <c r="AA74" i="5"/>
  <c r="AJ77" i="5"/>
  <c r="AZ74" i="5"/>
  <c r="AC69" i="4"/>
  <c r="AD20" i="4"/>
  <c r="AH74" i="5"/>
  <c r="AJ75" i="5"/>
  <c r="C15" i="5"/>
  <c r="D15" i="5" s="1"/>
  <c r="I73" i="5"/>
  <c r="AA73" i="5"/>
  <c r="AZ73" i="5"/>
  <c r="AH72" i="5"/>
  <c r="AR72" i="5"/>
  <c r="AM77" i="5"/>
  <c r="AX73" i="5"/>
  <c r="AM75" i="5"/>
  <c r="X73" i="5"/>
  <c r="AR76" i="5"/>
  <c r="AX72" i="5"/>
  <c r="AS72" i="5"/>
  <c r="AM73" i="5"/>
  <c r="X76" i="5"/>
  <c r="AF76" i="5"/>
  <c r="AR77" i="5"/>
  <c r="AP75" i="5"/>
  <c r="AS5" i="11" l="1"/>
  <c r="AS26" i="11" s="1"/>
  <c r="AC5" i="11"/>
  <c r="AC26" i="11" s="1"/>
  <c r="AE90" i="4"/>
  <c r="AE92" i="4" s="1"/>
  <c r="AF89" i="4" s="1"/>
  <c r="AE19" i="4"/>
  <c r="AH4" i="4"/>
  <c r="AG27" i="4"/>
  <c r="AG28" i="4"/>
  <c r="AD113" i="3"/>
  <c r="AD115" i="3" s="1"/>
  <c r="AE112" i="3" s="1"/>
  <c r="AC89" i="3"/>
  <c r="AC91" i="3" s="1"/>
  <c r="AD88" i="3" s="1"/>
  <c r="Z23" i="3"/>
  <c r="AB21" i="3"/>
  <c r="AB23" i="3" s="1"/>
  <c r="AC17" i="3"/>
  <c r="AH4" i="3"/>
  <c r="AG26" i="3"/>
  <c r="AC68" i="4"/>
  <c r="AC71" i="4" s="1"/>
  <c r="AB72" i="4"/>
  <c r="AC72" i="3"/>
  <c r="AC75" i="3" s="1"/>
  <c r="AB76" i="3"/>
  <c r="D40" i="11"/>
  <c r="E27" i="1"/>
  <c r="D28" i="1"/>
  <c r="F28" i="1" s="1"/>
  <c r="I83" i="3"/>
  <c r="I86" i="11"/>
  <c r="C21" i="11" s="1"/>
  <c r="C16" i="11"/>
  <c r="D16" i="11" s="1"/>
  <c r="V5" i="11"/>
  <c r="V26" i="11" s="1"/>
  <c r="AT5" i="11"/>
  <c r="AT26" i="11" s="1"/>
  <c r="AB5" i="11"/>
  <c r="AB26" i="11" s="1"/>
  <c r="AN5" i="11"/>
  <c r="AN26" i="11" s="1"/>
  <c r="AH5" i="11"/>
  <c r="AH26" i="11" s="1"/>
  <c r="Z9" i="4"/>
  <c r="Z17" i="4" s="1"/>
  <c r="AB6" i="4"/>
  <c r="AA8" i="4"/>
  <c r="AA7" i="4"/>
  <c r="C40" i="5"/>
  <c r="E39" i="5" s="1"/>
  <c r="E40" i="5" s="1"/>
  <c r="AD9" i="3"/>
  <c r="J73" i="5"/>
  <c r="J80" i="5" s="1"/>
  <c r="J86" i="5" s="1"/>
  <c r="AH5" i="5" s="1"/>
  <c r="AH27" i="5" s="1"/>
  <c r="I80" i="5"/>
  <c r="AE7" i="3"/>
  <c r="AF6" i="3"/>
  <c r="AE8" i="3"/>
  <c r="AE12" i="3"/>
  <c r="AE19" i="3"/>
  <c r="AD73" i="3"/>
  <c r="AE12" i="4"/>
  <c r="AE20" i="4"/>
  <c r="AD69" i="4"/>
  <c r="E24" i="1" l="1"/>
  <c r="D21" i="11"/>
  <c r="E23" i="1" s="1"/>
  <c r="AF90" i="4"/>
  <c r="AF92" i="4" s="1"/>
  <c r="AG89" i="4" s="1"/>
  <c r="Z22" i="4"/>
  <c r="AI106" i="4" s="1"/>
  <c r="AF19" i="4"/>
  <c r="AC106" i="4"/>
  <c r="AI4" i="4"/>
  <c r="Z42" i="4" s="1"/>
  <c r="Z85" i="4" s="1"/>
  <c r="AH27" i="4"/>
  <c r="AH28" i="4"/>
  <c r="AE113" i="3"/>
  <c r="AE115" i="3" s="1"/>
  <c r="AF112" i="3" s="1"/>
  <c r="AD89" i="3"/>
  <c r="AD91" i="3" s="1"/>
  <c r="AE88" i="3" s="1"/>
  <c r="AC21" i="3"/>
  <c r="AC23" i="3" s="1"/>
  <c r="AD17" i="3"/>
  <c r="AI4" i="3"/>
  <c r="AH26" i="3"/>
  <c r="AD68" i="4"/>
  <c r="AD71" i="4" s="1"/>
  <c r="AC72" i="4"/>
  <c r="AD72" i="3"/>
  <c r="AD75" i="3" s="1"/>
  <c r="AC76" i="3"/>
  <c r="D40" i="5"/>
  <c r="D27" i="1"/>
  <c r="F27" i="1" s="1"/>
  <c r="AA5" i="5"/>
  <c r="AA27" i="5" s="1"/>
  <c r="AQ5" i="5"/>
  <c r="AQ27" i="5" s="1"/>
  <c r="AE5" i="5"/>
  <c r="AE27" i="5" s="1"/>
  <c r="AK5" i="5"/>
  <c r="AK27" i="5" s="1"/>
  <c r="J76" i="3"/>
  <c r="J83" i="3" s="1"/>
  <c r="AR106" i="4"/>
  <c r="AL106" i="4"/>
  <c r="AX106" i="4"/>
  <c r="F70" i="11"/>
  <c r="C34" i="11"/>
  <c r="D34" i="11" s="1"/>
  <c r="M57" i="11"/>
  <c r="C28" i="11"/>
  <c r="D18" i="11"/>
  <c r="E21" i="1" s="1"/>
  <c r="C18" i="11"/>
  <c r="AZ106" i="4"/>
  <c r="AB106" i="4"/>
  <c r="AA9" i="4"/>
  <c r="AA17" i="4" s="1"/>
  <c r="AB8" i="4"/>
  <c r="AC6" i="4"/>
  <c r="AB7" i="4"/>
  <c r="AE9" i="3"/>
  <c r="C16" i="5"/>
  <c r="D16" i="5" s="1"/>
  <c r="I86" i="5"/>
  <c r="C21" i="5" s="1"/>
  <c r="D21" i="5" s="1"/>
  <c r="AP5" i="5"/>
  <c r="AP27" i="5" s="1"/>
  <c r="AJ5" i="5"/>
  <c r="AJ27" i="5" s="1"/>
  <c r="AV5" i="5"/>
  <c r="AV27" i="5" s="1"/>
  <c r="AD5" i="5"/>
  <c r="AD27" i="5" s="1"/>
  <c r="X5" i="5"/>
  <c r="X27" i="5" s="1"/>
  <c r="AF19" i="3"/>
  <c r="AE73" i="3"/>
  <c r="AE69" i="4"/>
  <c r="AF20" i="4"/>
  <c r="AF12" i="3"/>
  <c r="AF12" i="4"/>
  <c r="AG6" i="3"/>
  <c r="AF8" i="3"/>
  <c r="AF7" i="3"/>
  <c r="AO106" i="4" l="1"/>
  <c r="AU106" i="4"/>
  <c r="AA42" i="4"/>
  <c r="AA85" i="4" s="1"/>
  <c r="AG90" i="4"/>
  <c r="AG92" i="4" s="1"/>
  <c r="AH89" i="4" s="1"/>
  <c r="I80" i="4"/>
  <c r="J80" i="4" s="1"/>
  <c r="J87" i="4" s="1"/>
  <c r="J93" i="4" s="1"/>
  <c r="AC99" i="4" s="1"/>
  <c r="AN106" i="4"/>
  <c r="AH106" i="4"/>
  <c r="AT106" i="4"/>
  <c r="Z24" i="4"/>
  <c r="AA22" i="4"/>
  <c r="AA24" i="4" s="1"/>
  <c r="AG19" i="4"/>
  <c r="AJ4" i="4"/>
  <c r="AI28" i="4"/>
  <c r="AI27" i="4"/>
  <c r="AF113" i="3"/>
  <c r="AF115" i="3" s="1"/>
  <c r="AG112" i="3" s="1"/>
  <c r="AE89" i="3"/>
  <c r="AE91" i="3" s="1"/>
  <c r="AF88" i="3" s="1"/>
  <c r="AD21" i="3"/>
  <c r="AD23" i="3" s="1"/>
  <c r="AE17" i="3"/>
  <c r="AJ4" i="3"/>
  <c r="AI26" i="3"/>
  <c r="AE68" i="4"/>
  <c r="AE71" i="4" s="1"/>
  <c r="AD72" i="4"/>
  <c r="AE72" i="3"/>
  <c r="AE75" i="3" s="1"/>
  <c r="AD76" i="3"/>
  <c r="E16" i="11"/>
  <c r="E22" i="1"/>
  <c r="D24" i="1"/>
  <c r="E21" i="11"/>
  <c r="F30" i="1"/>
  <c r="F9" i="1" s="1" a="1"/>
  <c r="F9" i="1" s="1"/>
  <c r="D28" i="11"/>
  <c r="F29" i="1" s="1"/>
  <c r="C16" i="3"/>
  <c r="J85" i="3"/>
  <c r="I85" i="3"/>
  <c r="C20" i="3" s="1"/>
  <c r="AL99" i="4"/>
  <c r="AR99" i="4"/>
  <c r="AX99" i="4"/>
  <c r="E14" i="11"/>
  <c r="E17" i="11"/>
  <c r="E15" i="11"/>
  <c r="C30" i="11"/>
  <c r="E23" i="11"/>
  <c r="E25" i="11"/>
  <c r="E22" i="11"/>
  <c r="E27" i="11"/>
  <c r="E24" i="11"/>
  <c r="E26" i="11"/>
  <c r="D36" i="11"/>
  <c r="D42" i="11" s="1"/>
  <c r="C36" i="11"/>
  <c r="AB99" i="4"/>
  <c r="AZ99" i="4"/>
  <c r="AB9" i="4"/>
  <c r="AB17" i="4" s="1"/>
  <c r="AC8" i="4"/>
  <c r="AD6" i="4"/>
  <c r="AC7" i="4"/>
  <c r="AF9" i="3"/>
  <c r="AF73" i="3"/>
  <c r="AG19" i="3"/>
  <c r="AG12" i="3"/>
  <c r="AG20" i="4"/>
  <c r="AF69" i="4"/>
  <c r="AG8" i="3"/>
  <c r="AG7" i="3"/>
  <c r="AH6" i="3"/>
  <c r="AG12" i="4"/>
  <c r="F70" i="5"/>
  <c r="M57" i="5"/>
  <c r="C34" i="5"/>
  <c r="D34" i="5" s="1"/>
  <c r="C28" i="5"/>
  <c r="D18" i="5"/>
  <c r="C18" i="5"/>
  <c r="AO99" i="4" l="1"/>
  <c r="AI99" i="4"/>
  <c r="AU99" i="4"/>
  <c r="M85" i="3"/>
  <c r="D20" i="3"/>
  <c r="D30" i="3" s="1"/>
  <c r="C17" i="3"/>
  <c r="B22" i="1" s="1"/>
  <c r="D16" i="3"/>
  <c r="D17" i="3" s="1"/>
  <c r="AH90" i="4"/>
  <c r="AH92" i="4" s="1"/>
  <c r="AI89" i="4" s="1"/>
  <c r="AH99" i="4"/>
  <c r="AN99" i="4"/>
  <c r="I87" i="4"/>
  <c r="C17" i="4" s="1"/>
  <c r="AT99" i="4"/>
  <c r="AH19" i="4"/>
  <c r="AB22" i="4"/>
  <c r="AK4" i="4"/>
  <c r="AJ27" i="4"/>
  <c r="AJ28" i="4"/>
  <c r="AG113" i="3"/>
  <c r="AG115" i="3" s="1"/>
  <c r="AH112" i="3" s="1"/>
  <c r="AF89" i="3"/>
  <c r="AF91" i="3" s="1"/>
  <c r="AG88" i="3" s="1"/>
  <c r="AE21" i="3"/>
  <c r="AE23" i="3" s="1"/>
  <c r="AF17" i="3"/>
  <c r="AK4" i="3"/>
  <c r="AJ26" i="3"/>
  <c r="AF68" i="4"/>
  <c r="AF71" i="4" s="1"/>
  <c r="AE72" i="4"/>
  <c r="AF72" i="3"/>
  <c r="AF75" i="3" s="1"/>
  <c r="AE76" i="3"/>
  <c r="D22" i="1"/>
  <c r="D23" i="1"/>
  <c r="D21" i="1"/>
  <c r="D30" i="11"/>
  <c r="E16" i="5"/>
  <c r="M58" i="3"/>
  <c r="C30" i="3"/>
  <c r="E23" i="3" s="1"/>
  <c r="B24" i="1"/>
  <c r="C36" i="3"/>
  <c r="D36" i="3" s="1"/>
  <c r="D28" i="5"/>
  <c r="D30" i="5" s="1"/>
  <c r="E28" i="11"/>
  <c r="E34" i="11"/>
  <c r="E35" i="11"/>
  <c r="C42" i="11"/>
  <c r="C44" i="11" s="1" a="1"/>
  <c r="C44" i="11" s="1"/>
  <c r="D44" i="11" s="1"/>
  <c r="E18" i="11"/>
  <c r="AC9" i="4"/>
  <c r="AC17" i="4" s="1"/>
  <c r="AD8" i="4"/>
  <c r="AD7" i="4"/>
  <c r="AE6" i="4"/>
  <c r="AG9" i="3"/>
  <c r="AG73" i="3"/>
  <c r="AH19" i="3"/>
  <c r="E24" i="5"/>
  <c r="C30" i="5"/>
  <c r="E26" i="5"/>
  <c r="E25" i="5"/>
  <c r="E23" i="5"/>
  <c r="E22" i="5"/>
  <c r="E27" i="5"/>
  <c r="AH20" i="4"/>
  <c r="AG69" i="4"/>
  <c r="AH12" i="4"/>
  <c r="C36" i="5"/>
  <c r="E34" i="5" s="1"/>
  <c r="D36" i="5"/>
  <c r="D42" i="5" s="1"/>
  <c r="E21" i="5"/>
  <c r="E17" i="5"/>
  <c r="E14" i="5"/>
  <c r="E15" i="5"/>
  <c r="AI6" i="3"/>
  <c r="AH7" i="3"/>
  <c r="AH8" i="3"/>
  <c r="AH12" i="3"/>
  <c r="D17" i="4" l="1"/>
  <c r="D19" i="4" s="1"/>
  <c r="C21" i="1" s="1"/>
  <c r="I93" i="4"/>
  <c r="C22" i="4" s="1"/>
  <c r="AI90" i="4"/>
  <c r="AI92" i="4" s="1"/>
  <c r="AJ89" i="4" s="1"/>
  <c r="C19" i="4"/>
  <c r="E17" i="4" s="1"/>
  <c r="AB24" i="4"/>
  <c r="AC22" i="4"/>
  <c r="AI19" i="4"/>
  <c r="AL4" i="4"/>
  <c r="AK27" i="4"/>
  <c r="AK28" i="4"/>
  <c r="AH113" i="3"/>
  <c r="AH115" i="3" s="1"/>
  <c r="AI112" i="3" s="1"/>
  <c r="AG89" i="3"/>
  <c r="AG91" i="3" s="1"/>
  <c r="AH88" i="3" s="1"/>
  <c r="AF21" i="3"/>
  <c r="AF23" i="3" s="1"/>
  <c r="AG17" i="3"/>
  <c r="AL4" i="3"/>
  <c r="AK26" i="3"/>
  <c r="E24" i="3"/>
  <c r="B21" i="1"/>
  <c r="E29" i="3"/>
  <c r="AG68" i="4"/>
  <c r="AG71" i="4" s="1"/>
  <c r="AF72" i="4"/>
  <c r="AG72" i="3"/>
  <c r="AG75" i="3" s="1"/>
  <c r="AF76" i="3"/>
  <c r="E21" i="3"/>
  <c r="B23" i="1"/>
  <c r="S65" i="3"/>
  <c r="E22" i="3"/>
  <c r="E20" i="3"/>
  <c r="E25" i="3"/>
  <c r="E27" i="3"/>
  <c r="E28" i="3"/>
  <c r="E26" i="3"/>
  <c r="E36" i="11"/>
  <c r="AD9" i="4"/>
  <c r="AD17" i="4" s="1"/>
  <c r="AE7" i="4"/>
  <c r="AF6" i="4"/>
  <c r="AE8" i="4"/>
  <c r="AH9" i="3"/>
  <c r="AI19" i="3"/>
  <c r="AH73" i="3"/>
  <c r="E35" i="5"/>
  <c r="E36" i="5" s="1"/>
  <c r="C42" i="5"/>
  <c r="AI12" i="4"/>
  <c r="AI12" i="3"/>
  <c r="E18" i="5"/>
  <c r="AI7" i="3"/>
  <c r="AI8" i="3"/>
  <c r="AJ6" i="3"/>
  <c r="E28" i="5"/>
  <c r="AI20" i="4"/>
  <c r="AH69" i="4"/>
  <c r="F21" i="1" l="1"/>
  <c r="C29" i="4"/>
  <c r="E23" i="4" s="1"/>
  <c r="D22" i="4"/>
  <c r="D29" i="4" s="1"/>
  <c r="D31" i="4" s="1"/>
  <c r="C34" i="4"/>
  <c r="D34" i="4" s="1"/>
  <c r="D36" i="4" s="1"/>
  <c r="M64" i="4"/>
  <c r="C24" i="1"/>
  <c r="F24" i="1" s="1"/>
  <c r="E18" i="4"/>
  <c r="C22" i="1"/>
  <c r="F22" i="1" s="1"/>
  <c r="E15" i="4"/>
  <c r="AJ90" i="4"/>
  <c r="AJ92" i="4" s="1"/>
  <c r="AK89" i="4" s="1"/>
  <c r="E16" i="4"/>
  <c r="AC24" i="4"/>
  <c r="AJ19" i="4"/>
  <c r="AD22" i="4"/>
  <c r="AM4" i="4"/>
  <c r="AL27" i="4"/>
  <c r="AL28" i="4"/>
  <c r="AI113" i="3"/>
  <c r="AI115" i="3" s="1"/>
  <c r="AJ112" i="3" s="1"/>
  <c r="AH89" i="3"/>
  <c r="AH91" i="3" s="1"/>
  <c r="AI88" i="3" s="1"/>
  <c r="AG21" i="3"/>
  <c r="AG23" i="3" s="1"/>
  <c r="AH17" i="3"/>
  <c r="AM4" i="3"/>
  <c r="AL26" i="3"/>
  <c r="S39" i="3"/>
  <c r="T39" i="3" s="1"/>
  <c r="AD35" i="3" s="1"/>
  <c r="AD84" i="3" s="1"/>
  <c r="AH68" i="4"/>
  <c r="AH71" i="4" s="1"/>
  <c r="AG72" i="4"/>
  <c r="AH72" i="3"/>
  <c r="AH75" i="3" s="1"/>
  <c r="AG76" i="3"/>
  <c r="E30" i="3"/>
  <c r="C44" i="5" a="1"/>
  <c r="C44" i="5" s="1"/>
  <c r="D44" i="5" s="1"/>
  <c r="AC107" i="4"/>
  <c r="AC108" i="4" s="1"/>
  <c r="AC111" i="4" s="1"/>
  <c r="AE9" i="4"/>
  <c r="AE17" i="4" s="1"/>
  <c r="AF8" i="4"/>
  <c r="AF7" i="4"/>
  <c r="AG6" i="4"/>
  <c r="AI9" i="3"/>
  <c r="AJ20" i="4"/>
  <c r="AI69" i="4"/>
  <c r="AJ12" i="4"/>
  <c r="AJ12" i="3"/>
  <c r="AJ19" i="3"/>
  <c r="AI73" i="3"/>
  <c r="AJ8" i="3"/>
  <c r="AK6" i="3"/>
  <c r="AJ7" i="3"/>
  <c r="E27" i="4" l="1"/>
  <c r="C31" i="4"/>
  <c r="E28" i="4"/>
  <c r="E22" i="4"/>
  <c r="E26" i="4"/>
  <c r="E25" i="4"/>
  <c r="E24" i="4"/>
  <c r="C23" i="1"/>
  <c r="F23" i="1" s="1"/>
  <c r="C36" i="4"/>
  <c r="E34" i="4" s="1"/>
  <c r="E19" i="4"/>
  <c r="AK90" i="4"/>
  <c r="AK92" i="4" s="1"/>
  <c r="AL89" i="4" s="1"/>
  <c r="AD24" i="4"/>
  <c r="AE22" i="4"/>
  <c r="AK19" i="4"/>
  <c r="AN4" i="4"/>
  <c r="AM28" i="4"/>
  <c r="AM27" i="4"/>
  <c r="AJ113" i="3"/>
  <c r="AJ115" i="3" s="1"/>
  <c r="AK112" i="3" s="1"/>
  <c r="AI89" i="3"/>
  <c r="AI91" i="3" s="1"/>
  <c r="AJ88" i="3" s="1"/>
  <c r="AH21" i="3"/>
  <c r="AH23" i="3" s="1"/>
  <c r="AI17" i="3"/>
  <c r="AC67" i="3"/>
  <c r="AN4" i="3"/>
  <c r="AM26" i="3"/>
  <c r="C41" i="3"/>
  <c r="F73" i="3" s="1"/>
  <c r="AF35" i="3"/>
  <c r="AF84" i="3" s="1"/>
  <c r="AE35" i="3"/>
  <c r="AE84" i="3" s="1"/>
  <c r="AL35" i="3"/>
  <c r="AL84" i="3" s="1"/>
  <c r="AM35" i="3"/>
  <c r="AM84" i="3" s="1"/>
  <c r="AI35" i="3"/>
  <c r="AI84" i="3" s="1"/>
  <c r="AK35" i="3"/>
  <c r="AK84" i="3" s="1"/>
  <c r="AJ35" i="3"/>
  <c r="AJ84" i="3" s="1"/>
  <c r="AN35" i="3"/>
  <c r="AN84" i="3" s="1"/>
  <c r="AG35" i="3"/>
  <c r="AG84" i="3" s="1"/>
  <c r="AH35" i="3"/>
  <c r="AH84" i="3" s="1"/>
  <c r="AI68" i="4"/>
  <c r="AI71" i="4" s="1"/>
  <c r="AH72" i="4"/>
  <c r="AI72" i="3"/>
  <c r="AI75" i="3" s="1"/>
  <c r="AH76" i="3"/>
  <c r="AL107" i="4"/>
  <c r="AL108" i="4" s="1"/>
  <c r="AL111" i="4" s="1"/>
  <c r="AX107" i="4"/>
  <c r="AX108" i="4" s="1"/>
  <c r="AX111" i="4" s="1"/>
  <c r="AR107" i="4"/>
  <c r="AR108" i="4" s="1"/>
  <c r="AR111" i="4" s="1"/>
  <c r="AB107" i="4"/>
  <c r="AB108" i="4" s="1"/>
  <c r="AB111" i="4" s="1"/>
  <c r="AZ107" i="4"/>
  <c r="AZ108" i="4" s="1"/>
  <c r="AZ111" i="4" s="1"/>
  <c r="AF9" i="4"/>
  <c r="AF17" i="4" s="1"/>
  <c r="AG8" i="4"/>
  <c r="AG7" i="4"/>
  <c r="AH6" i="4"/>
  <c r="AJ9" i="3"/>
  <c r="AK7" i="3"/>
  <c r="AK8" i="3"/>
  <c r="AL6" i="3"/>
  <c r="AJ73" i="3"/>
  <c r="AK19" i="3"/>
  <c r="AK20" i="4"/>
  <c r="AJ69" i="4"/>
  <c r="AK12" i="3"/>
  <c r="AK12" i="4"/>
  <c r="E29" i="4" l="1"/>
  <c r="E35" i="4"/>
  <c r="E36" i="4" s="1"/>
  <c r="Z35" i="3"/>
  <c r="Z84" i="3" s="1"/>
  <c r="D41" i="3"/>
  <c r="D45" i="3" s="1"/>
  <c r="AL90" i="4"/>
  <c r="AL92" i="4" s="1"/>
  <c r="AM89" i="4" s="1"/>
  <c r="AE24" i="4"/>
  <c r="AL19" i="4"/>
  <c r="AF22" i="4"/>
  <c r="AN27" i="4"/>
  <c r="AN28" i="4"/>
  <c r="AK113" i="3"/>
  <c r="AK115" i="3" s="1"/>
  <c r="AL112" i="3" s="1"/>
  <c r="AJ89" i="3"/>
  <c r="AJ91" i="3" s="1"/>
  <c r="AK88" i="3" s="1"/>
  <c r="Z82" i="3"/>
  <c r="Z83" i="3" s="1"/>
  <c r="AG67" i="3"/>
  <c r="AI21" i="3"/>
  <c r="AI23" i="3" s="1"/>
  <c r="AJ17" i="3"/>
  <c r="AE67" i="3"/>
  <c r="AD67" i="3"/>
  <c r="AF67" i="3"/>
  <c r="AC35" i="3"/>
  <c r="AC84" i="3" s="1"/>
  <c r="B26" i="1"/>
  <c r="AN26" i="3"/>
  <c r="AB35" i="3"/>
  <c r="AB84" i="3" s="1"/>
  <c r="C45" i="3"/>
  <c r="AA35" i="3"/>
  <c r="AA84" i="3" s="1"/>
  <c r="S41" i="3"/>
  <c r="AJ68" i="4"/>
  <c r="AJ71" i="4" s="1"/>
  <c r="AI72" i="4"/>
  <c r="AJ72" i="3"/>
  <c r="AJ75" i="3" s="1"/>
  <c r="AI76" i="3"/>
  <c r="AG9" i="4"/>
  <c r="AG17" i="4" s="1"/>
  <c r="AH8" i="4"/>
  <c r="AH7" i="4"/>
  <c r="AI6" i="4"/>
  <c r="AK9" i="3"/>
  <c r="AL12" i="4"/>
  <c r="AM6" i="3"/>
  <c r="AL7" i="3"/>
  <c r="AL8" i="3"/>
  <c r="AL12" i="3"/>
  <c r="AK69" i="4"/>
  <c r="AL20" i="4"/>
  <c r="AK73" i="3"/>
  <c r="AL19" i="3"/>
  <c r="AM90" i="4" l="1"/>
  <c r="AM92" i="4" s="1"/>
  <c r="AN89" i="4" s="1"/>
  <c r="AF24" i="4"/>
  <c r="AG22" i="4"/>
  <c r="AM19" i="4"/>
  <c r="E43" i="3"/>
  <c r="E44" i="3"/>
  <c r="AL113" i="3"/>
  <c r="AL115" i="3" s="1"/>
  <c r="AM112" i="3" s="1"/>
  <c r="AK89" i="3"/>
  <c r="AK91" i="3" s="1"/>
  <c r="AL88" i="3" s="1"/>
  <c r="Z85" i="3"/>
  <c r="AA82" i="3" s="1"/>
  <c r="AH67" i="3"/>
  <c r="AJ21" i="3"/>
  <c r="AJ23" i="3" s="1"/>
  <c r="AA67" i="3"/>
  <c r="AK17" i="3"/>
  <c r="Z67" i="3"/>
  <c r="AB67" i="3"/>
  <c r="B25" i="1"/>
  <c r="E41" i="3"/>
  <c r="E42" i="3"/>
  <c r="AK68" i="4"/>
  <c r="AK71" i="4" s="1"/>
  <c r="AJ72" i="4"/>
  <c r="AK72" i="3"/>
  <c r="AK75" i="3" s="1"/>
  <c r="AJ76" i="3"/>
  <c r="AH9" i="4"/>
  <c r="AH17" i="4" s="1"/>
  <c r="AI7" i="4"/>
  <c r="AI8" i="4"/>
  <c r="AJ6" i="4"/>
  <c r="AL9" i="3"/>
  <c r="AL73" i="3"/>
  <c r="AM19" i="3"/>
  <c r="AN6" i="3"/>
  <c r="AM7" i="3"/>
  <c r="AM8" i="3"/>
  <c r="AL69" i="4"/>
  <c r="AM20" i="4"/>
  <c r="AM12" i="4"/>
  <c r="AM12" i="3"/>
  <c r="AN90" i="4" l="1"/>
  <c r="AN92" i="4" s="1"/>
  <c r="AG24" i="4"/>
  <c r="AH22" i="4"/>
  <c r="AN19" i="4"/>
  <c r="AM113" i="3"/>
  <c r="AM115" i="3" s="1"/>
  <c r="AN112" i="3" s="1"/>
  <c r="AL89" i="3"/>
  <c r="AL91" i="3" s="1"/>
  <c r="AM88" i="3" s="1"/>
  <c r="AA83" i="3"/>
  <c r="AA85" i="3" s="1"/>
  <c r="AB82" i="3" s="1"/>
  <c r="AK21" i="3"/>
  <c r="AJ67" i="3" s="1"/>
  <c r="AI67" i="3"/>
  <c r="AL17" i="3"/>
  <c r="E45" i="3"/>
  <c r="AL68" i="4"/>
  <c r="AL71" i="4" s="1"/>
  <c r="AK72" i="4"/>
  <c r="AL72" i="3"/>
  <c r="AL75" i="3" s="1"/>
  <c r="AK76" i="3"/>
  <c r="AI9" i="4"/>
  <c r="AI17" i="4" s="1"/>
  <c r="AJ7" i="4"/>
  <c r="AK6" i="4"/>
  <c r="AJ8" i="4"/>
  <c r="AM9" i="3"/>
  <c r="AN12" i="3"/>
  <c r="AN7" i="3"/>
  <c r="AN8" i="3"/>
  <c r="AM73" i="3"/>
  <c r="AN19" i="3"/>
  <c r="AN73" i="3" s="1"/>
  <c r="AN12" i="4"/>
  <c r="AM69" i="4"/>
  <c r="AN20" i="4"/>
  <c r="AH24" i="4" l="1"/>
  <c r="AI22" i="4"/>
  <c r="AN69" i="4"/>
  <c r="S43" i="4"/>
  <c r="AN113" i="3"/>
  <c r="AN115" i="3" s="1"/>
  <c r="AM89" i="3"/>
  <c r="AM91" i="3" s="1"/>
  <c r="AN88" i="3" s="1"/>
  <c r="AB83" i="3"/>
  <c r="AB85" i="3" s="1"/>
  <c r="AC82" i="3" s="1"/>
  <c r="AK23" i="3"/>
  <c r="AL21" i="3"/>
  <c r="AM17" i="3"/>
  <c r="AM68" i="4"/>
  <c r="AM71" i="4" s="1"/>
  <c r="AL72" i="4"/>
  <c r="AM72" i="3"/>
  <c r="AM75" i="3" s="1"/>
  <c r="AL76" i="3"/>
  <c r="AJ9" i="4"/>
  <c r="AJ17" i="4" s="1"/>
  <c r="AK7" i="4"/>
  <c r="AK8" i="4"/>
  <c r="AL6" i="4"/>
  <c r="AN9" i="3"/>
  <c r="AI24" i="4" l="1"/>
  <c r="AJ22" i="4"/>
  <c r="AJ24" i="4" s="1"/>
  <c r="C39" i="4"/>
  <c r="F76" i="4" s="1"/>
  <c r="T43" i="4"/>
  <c r="AN37" i="4" s="1"/>
  <c r="AN79" i="4" s="1"/>
  <c r="AN89" i="3"/>
  <c r="AN91" i="3" s="1"/>
  <c r="AC83" i="3"/>
  <c r="AC85" i="3" s="1"/>
  <c r="AD82" i="3" s="1"/>
  <c r="AM21" i="3"/>
  <c r="AL67" i="3" s="1"/>
  <c r="AK67" i="3"/>
  <c r="AL23" i="3"/>
  <c r="AN17" i="3"/>
  <c r="AN68" i="4"/>
  <c r="AN71" i="4" s="1"/>
  <c r="AN72" i="4" s="1"/>
  <c r="AM72" i="4"/>
  <c r="AN72" i="3"/>
  <c r="AN75" i="3" s="1"/>
  <c r="AN76" i="3" s="1"/>
  <c r="AM76" i="3"/>
  <c r="AK9" i="4"/>
  <c r="AK17" i="4" s="1"/>
  <c r="AL8" i="4"/>
  <c r="AL7" i="4"/>
  <c r="AM6" i="4"/>
  <c r="Z77" i="4" l="1"/>
  <c r="Z78" i="4" s="1"/>
  <c r="D39" i="4"/>
  <c r="AK22" i="4"/>
  <c r="AJ37" i="4"/>
  <c r="AJ79" i="4" s="1"/>
  <c r="AK37" i="4"/>
  <c r="AK79" i="4" s="1"/>
  <c r="AL37" i="4"/>
  <c r="AL79" i="4" s="1"/>
  <c r="AM37" i="4"/>
  <c r="AM79" i="4" s="1"/>
  <c r="AI37" i="4"/>
  <c r="AI79" i="4" s="1"/>
  <c r="AH37" i="4"/>
  <c r="AH79" i="4" s="1"/>
  <c r="AA37" i="4"/>
  <c r="C26" i="1"/>
  <c r="F26" i="1" s="1"/>
  <c r="S69" i="4"/>
  <c r="AF37" i="4"/>
  <c r="AF79" i="4" s="1"/>
  <c r="S45" i="4"/>
  <c r="Z86" i="4" s="1"/>
  <c r="AA83" i="4" s="1"/>
  <c r="AA84" i="4" s="1"/>
  <c r="AG37" i="4"/>
  <c r="AG79" i="4" s="1"/>
  <c r="Z37" i="4"/>
  <c r="AD37" i="4"/>
  <c r="AD79" i="4" s="1"/>
  <c r="AE37" i="4"/>
  <c r="AE79" i="4" s="1"/>
  <c r="AB37" i="4"/>
  <c r="AB79" i="4" s="1"/>
  <c r="AC37" i="4"/>
  <c r="AD83" i="3"/>
  <c r="AD85" i="3" s="1"/>
  <c r="AE82" i="3" s="1"/>
  <c r="AM23" i="3"/>
  <c r="AN21" i="3"/>
  <c r="AM67" i="3" s="1"/>
  <c r="AL9" i="4"/>
  <c r="AL17" i="4" s="1"/>
  <c r="AN6" i="4"/>
  <c r="AM8" i="4"/>
  <c r="AM7" i="4"/>
  <c r="AC79" i="4" l="1"/>
  <c r="Z63" i="4"/>
  <c r="AA79" i="4"/>
  <c r="Z57" i="4"/>
  <c r="Z79" i="4"/>
  <c r="Z80" i="4" s="1"/>
  <c r="AA77" i="4" s="1"/>
  <c r="AA78" i="4" s="1"/>
  <c r="AK24" i="4"/>
  <c r="AK38" i="4" s="1"/>
  <c r="AA86" i="4"/>
  <c r="AB83" i="4" s="1"/>
  <c r="AB84" i="4" s="1"/>
  <c r="AL22" i="4"/>
  <c r="AE29" i="4"/>
  <c r="AD29" i="4"/>
  <c r="AC29" i="4"/>
  <c r="AB29" i="4"/>
  <c r="AA29" i="4"/>
  <c r="AN29" i="4"/>
  <c r="Z29" i="4"/>
  <c r="Z32" i="4" s="1"/>
  <c r="AM29" i="4"/>
  <c r="AL29" i="4"/>
  <c r="AK29" i="4"/>
  <c r="AI29" i="4"/>
  <c r="AH29" i="4"/>
  <c r="AG29" i="4"/>
  <c r="AF29" i="4"/>
  <c r="AJ29" i="4"/>
  <c r="AJ38" i="4"/>
  <c r="AD38" i="4"/>
  <c r="AF38" i="4"/>
  <c r="AC38" i="4"/>
  <c r="AA38" i="4"/>
  <c r="AG38" i="4"/>
  <c r="C25" i="1"/>
  <c r="F25" i="1" s="1"/>
  <c r="AB38" i="4"/>
  <c r="AE38" i="4"/>
  <c r="AH38" i="4"/>
  <c r="Z38" i="4"/>
  <c r="AI38" i="4"/>
  <c r="AE83" i="3"/>
  <c r="AE85" i="3" s="1"/>
  <c r="AF82" i="3" s="1"/>
  <c r="AN23" i="3"/>
  <c r="AM9" i="4"/>
  <c r="AM17" i="4" s="1"/>
  <c r="AN8" i="4"/>
  <c r="AN7" i="4"/>
  <c r="AA80" i="4" l="1"/>
  <c r="AB77" i="4" s="1"/>
  <c r="AB78" i="4" s="1"/>
  <c r="AL24" i="4"/>
  <c r="AA58" i="4"/>
  <c r="AA59" i="4" s="1"/>
  <c r="Z33" i="4"/>
  <c r="Z40" i="4" s="1"/>
  <c r="Z58" i="4"/>
  <c r="Z59" i="4" s="1"/>
  <c r="AM22" i="4"/>
  <c r="AF83" i="3"/>
  <c r="AF85" i="3" s="1"/>
  <c r="AG82" i="3" s="1"/>
  <c r="AN9" i="4"/>
  <c r="AN17" i="4" s="1"/>
  <c r="AB80" i="4" l="1"/>
  <c r="AC77" i="4" s="1"/>
  <c r="AC78" i="4" s="1"/>
  <c r="AL38" i="4"/>
  <c r="AM24" i="4"/>
  <c r="Z61" i="4"/>
  <c r="Z62" i="4" s="1"/>
  <c r="AN22" i="4"/>
  <c r="AG83" i="3"/>
  <c r="AG85" i="3" s="1"/>
  <c r="AH82" i="3" s="1"/>
  <c r="C38" i="3"/>
  <c r="D38" i="3"/>
  <c r="D47" i="3" s="1"/>
  <c r="AC80" i="4" l="1"/>
  <c r="AD77" i="4" s="1"/>
  <c r="AD78" i="4" s="1"/>
  <c r="AM38" i="4"/>
  <c r="AN24" i="4"/>
  <c r="Z64" i="4"/>
  <c r="AH83" i="3"/>
  <c r="AH85" i="3" s="1"/>
  <c r="AI82" i="3" s="1"/>
  <c r="C47" i="3"/>
  <c r="E37" i="3"/>
  <c r="E36" i="3"/>
  <c r="AD80" i="4" l="1"/>
  <c r="AE77" i="4" s="1"/>
  <c r="AE78" i="4" s="1"/>
  <c r="AN38" i="4"/>
  <c r="AI83" i="3"/>
  <c r="AI85" i="3" s="1"/>
  <c r="AJ82" i="3" s="1"/>
  <c r="E38" i="3"/>
  <c r="AE80" i="4" l="1"/>
  <c r="AF77" i="4" s="1"/>
  <c r="AF78" i="4" s="1"/>
  <c r="AJ83" i="3"/>
  <c r="AJ85" i="3" s="1"/>
  <c r="AK82" i="3" s="1"/>
  <c r="AF80" i="4" l="1"/>
  <c r="AG77" i="4" s="1"/>
  <c r="AG78" i="4" s="1"/>
  <c r="AK83" i="3"/>
  <c r="AK85" i="3" s="1"/>
  <c r="AL82" i="3" s="1"/>
  <c r="AG80" i="4" l="1"/>
  <c r="AH77" i="4" s="1"/>
  <c r="AH78" i="4" s="1"/>
  <c r="AL83" i="3"/>
  <c r="AL85" i="3" s="1"/>
  <c r="AM82" i="3" s="1"/>
  <c r="AH80" i="4" l="1"/>
  <c r="AI77" i="4" s="1"/>
  <c r="AI78" i="4" s="1"/>
  <c r="AM83" i="3"/>
  <c r="AM85" i="3" s="1"/>
  <c r="AN82" i="3" s="1"/>
  <c r="AI80" i="4" l="1"/>
  <c r="AJ77" i="4" s="1"/>
  <c r="AJ78" i="4" s="1"/>
  <c r="AN83" i="3"/>
  <c r="AN85" i="3" s="1"/>
  <c r="AJ80" i="4" l="1"/>
  <c r="AK77" i="4" s="1"/>
  <c r="AK78" i="4" s="1"/>
  <c r="AK80" i="4" l="1"/>
  <c r="AL77" i="4" s="1"/>
  <c r="AL78" i="4" s="1"/>
  <c r="AL80" i="4" l="1"/>
  <c r="AM77" i="4" s="1"/>
  <c r="AM78" i="4" s="1"/>
  <c r="AM80" i="4" l="1"/>
  <c r="AN77" i="4" s="1"/>
  <c r="AN78" i="4" s="1"/>
  <c r="AN80" i="4" l="1"/>
  <c r="AD8" i="12"/>
  <c r="H31" i="15" l="1"/>
  <c r="I31" i="15"/>
  <c r="BB8" i="12"/>
  <c r="BC8" i="12"/>
  <c r="AY8" i="12"/>
  <c r="B31" i="15"/>
  <c r="B61" i="15" l="1"/>
  <c r="B62" i="15"/>
  <c r="H63" i="15"/>
  <c r="H61" i="15"/>
  <c r="H62" i="15"/>
  <c r="E20" i="15" a="1"/>
  <c r="E20" i="15" s="1"/>
  <c r="B63" i="15"/>
  <c r="F20" i="15" a="1"/>
  <c r="F20" i="15" s="1"/>
  <c r="I36" i="15" l="1"/>
  <c r="BB13" i="12"/>
  <c r="AD13" i="12" l="1"/>
  <c r="BC13" i="12" l="1"/>
  <c r="AY13" i="12"/>
  <c r="I41" i="15" l="1"/>
  <c r="BB18" i="12"/>
  <c r="I61" i="15" l="1"/>
  <c r="I62" i="15"/>
  <c r="E18" i="15" a="1"/>
  <c r="E18" i="15" s="1"/>
  <c r="AD18" i="12"/>
  <c r="BC18" i="12" s="1"/>
  <c r="I63" i="15"/>
  <c r="F18" i="15" l="1" a="1"/>
  <c r="F18" i="15" s="1"/>
  <c r="AY18" i="12"/>
  <c r="BD19" i="12"/>
  <c r="G19" i="15" l="1" a="1"/>
  <c r="G19" i="15" s="1"/>
  <c r="E14" i="3"/>
  <c r="D32" i="3"/>
  <c r="C32" i="3" l="1"/>
  <c r="C50" i="3" s="1"/>
  <c r="E15" i="3"/>
  <c r="E16" i="3"/>
  <c r="D50" i="3" l="1"/>
  <c r="C51" i="3"/>
  <c r="D51" i="3" s="1"/>
  <c r="E17" i="3"/>
  <c r="AC27" i="12"/>
  <c r="AD27" i="12" l="1"/>
  <c r="BB27" i="12"/>
  <c r="E19" i="15" l="1" a="1"/>
  <c r="E19" i="15" s="1"/>
  <c r="AY27" i="12"/>
  <c r="BC27" i="12"/>
  <c r="F19" i="15" l="1" a="1"/>
  <c r="F19" i="15" s="1"/>
  <c r="Z61" i="3" l="1"/>
  <c r="S55" i="4" l="1"/>
  <c r="AH42" i="4" l="1"/>
  <c r="AI42" i="4"/>
  <c r="AF42" i="4"/>
  <c r="AG42" i="4"/>
  <c r="AD42" i="4"/>
  <c r="AE42" i="4"/>
  <c r="AB42" i="4"/>
  <c r="AC42" i="4"/>
  <c r="AU107" i="4" s="1"/>
  <c r="AU108" i="4" s="1"/>
  <c r="AU111" i="4" s="1"/>
  <c r="AJ42" i="4"/>
  <c r="AK42" i="4"/>
  <c r="AL42" i="4"/>
  <c r="AM42" i="4"/>
  <c r="AN42" i="4"/>
  <c r="S53" i="4"/>
  <c r="AI107" i="4" l="1"/>
  <c r="AI108" i="4" s="1"/>
  <c r="AI111" i="4" s="1"/>
  <c r="AO107" i="4"/>
  <c r="AO108" i="4" s="1"/>
  <c r="AO111" i="4" s="1"/>
  <c r="AB85" i="4"/>
  <c r="AB86" i="4" s="1"/>
  <c r="AC83" i="4" s="1"/>
  <c r="AG32" i="4"/>
  <c r="AG33" i="4" s="1"/>
  <c r="AG40" i="4" s="1"/>
  <c r="AG85" i="4"/>
  <c r="AF32" i="4"/>
  <c r="AF33" i="4" s="1"/>
  <c r="AF40" i="4" s="1"/>
  <c r="AF85" i="4"/>
  <c r="AN32" i="4"/>
  <c r="AN33" i="4" s="1"/>
  <c r="AN40" i="4" s="1"/>
  <c r="AN85" i="4"/>
  <c r="AK32" i="4"/>
  <c r="AK33" i="4" s="1"/>
  <c r="AK40" i="4" s="1"/>
  <c r="AK85" i="4"/>
  <c r="AJ32" i="4"/>
  <c r="AJ33" i="4" s="1"/>
  <c r="AJ40" i="4" s="1"/>
  <c r="AJ85" i="4"/>
  <c r="AE32" i="4"/>
  <c r="AE33" i="4" s="1"/>
  <c r="AE40" i="4" s="1"/>
  <c r="AE85" i="4"/>
  <c r="AI32" i="4"/>
  <c r="AI33" i="4" s="1"/>
  <c r="AI40" i="4" s="1"/>
  <c r="AI85" i="4"/>
  <c r="AM32" i="4"/>
  <c r="AM33" i="4" s="1"/>
  <c r="AM40" i="4" s="1"/>
  <c r="AM85" i="4"/>
  <c r="AL32" i="4"/>
  <c r="AL33" i="4" s="1"/>
  <c r="AL40" i="4" s="1"/>
  <c r="AL85" i="4"/>
  <c r="AC85" i="4"/>
  <c r="AD32" i="4"/>
  <c r="AD33" i="4" s="1"/>
  <c r="AD40" i="4" s="1"/>
  <c r="AD85" i="4"/>
  <c r="AH32" i="4"/>
  <c r="AH33" i="4" s="1"/>
  <c r="AH40" i="4" s="1"/>
  <c r="AH85" i="4"/>
  <c r="AJ58" i="4"/>
  <c r="AJ59" i="4" s="1"/>
  <c r="AI63" i="4"/>
  <c r="AE58" i="4"/>
  <c r="AE59" i="4" s="1"/>
  <c r="AD63" i="4"/>
  <c r="AG58" i="4"/>
  <c r="AG59" i="4" s="1"/>
  <c r="AF63" i="4"/>
  <c r="AN58" i="4"/>
  <c r="AN59" i="4" s="1"/>
  <c r="AM63" i="4"/>
  <c r="AM58" i="4"/>
  <c r="AM59" i="4" s="1"/>
  <c r="AL63" i="4"/>
  <c r="AL58" i="4"/>
  <c r="AL59" i="4" s="1"/>
  <c r="AK63" i="4"/>
  <c r="AK58" i="4"/>
  <c r="AK59" i="4" s="1"/>
  <c r="AJ63" i="4"/>
  <c r="AC58" i="4"/>
  <c r="AC59" i="4" s="1"/>
  <c r="AB63" i="4"/>
  <c r="AB58" i="4"/>
  <c r="AB59" i="4" s="1"/>
  <c r="AA63" i="4"/>
  <c r="AD58" i="4"/>
  <c r="AD59" i="4" s="1"/>
  <c r="AC63" i="4"/>
  <c r="AF58" i="4"/>
  <c r="AF59" i="4" s="1"/>
  <c r="AE63" i="4"/>
  <c r="AI58" i="4"/>
  <c r="AI59" i="4" s="1"/>
  <c r="AH63" i="4"/>
  <c r="AH58" i="4"/>
  <c r="AH59" i="4" s="1"/>
  <c r="AG63" i="4"/>
  <c r="AB45" i="4"/>
  <c r="AA45" i="4"/>
  <c r="Z47" i="4"/>
  <c r="AC84" i="4" l="1"/>
  <c r="AC86" i="4" s="1"/>
  <c r="AD83" i="4" s="1"/>
  <c r="Z50" i="4"/>
  <c r="Z51" i="4" s="1"/>
  <c r="AA56" i="4" s="1"/>
  <c r="AA32" i="4" s="1"/>
  <c r="AA33" i="4" s="1"/>
  <c r="AA40" i="4" s="1"/>
  <c r="AA47" i="4" s="1"/>
  <c r="AO58" i="4"/>
  <c r="W57" i="4" s="1"/>
  <c r="AE47" i="4"/>
  <c r="AE45" i="4"/>
  <c r="AN47" i="4"/>
  <c r="AN45" i="4"/>
  <c r="AL45" i="4"/>
  <c r="AL47" i="4"/>
  <c r="AI47" i="4"/>
  <c r="AI45" i="4"/>
  <c r="AG45" i="4"/>
  <c r="AG47" i="4"/>
  <c r="AF47" i="4"/>
  <c r="AF45" i="4"/>
  <c r="AM45" i="4"/>
  <c r="AM47" i="4"/>
  <c r="AD47" i="4"/>
  <c r="AD45" i="4"/>
  <c r="AJ47" i="4"/>
  <c r="AJ45" i="4"/>
  <c r="AK45" i="4"/>
  <c r="AK47" i="4"/>
  <c r="AN107" i="4"/>
  <c r="AN108" i="4" s="1"/>
  <c r="AN111" i="4" s="1"/>
  <c r="AH107" i="4"/>
  <c r="AH108" i="4" s="1"/>
  <c r="AH111" i="4" s="1"/>
  <c r="AC45" i="4"/>
  <c r="AT107" i="4"/>
  <c r="AT108" i="4" s="1"/>
  <c r="AT111" i="4" s="1"/>
  <c r="AH45" i="4"/>
  <c r="AH47" i="4"/>
  <c r="Z45" i="4"/>
  <c r="S89" i="4" l="1"/>
  <c r="AD84" i="4"/>
  <c r="AD86" i="4" s="1"/>
  <c r="AE83" i="4" s="1"/>
  <c r="AA57" i="4"/>
  <c r="AA61" i="4"/>
  <c r="AA64" i="4" s="1"/>
  <c r="AA50" i="4" s="1"/>
  <c r="AA51" i="4" s="1"/>
  <c r="AE84" i="4" l="1"/>
  <c r="AE86" i="4" s="1"/>
  <c r="AF83" i="4" s="1"/>
  <c r="AA62" i="4"/>
  <c r="AB56" i="4"/>
  <c r="AB57" i="4" l="1"/>
  <c r="AB32" i="4"/>
  <c r="AB33" i="4" s="1"/>
  <c r="AB40" i="4" s="1"/>
  <c r="AB47" i="4" s="1"/>
  <c r="AF84" i="4"/>
  <c r="AF86" i="4" s="1"/>
  <c r="AG83" i="4" s="1"/>
  <c r="AB61" i="4"/>
  <c r="AB62" i="4" s="1"/>
  <c r="AG84" i="4" l="1"/>
  <c r="AG86" i="4" s="1"/>
  <c r="AH83" i="4" s="1"/>
  <c r="AB64" i="4"/>
  <c r="AB50" i="4" s="1"/>
  <c r="AB51" i="4" s="1"/>
  <c r="AC56" i="4" s="1"/>
  <c r="AC57" i="4" l="1"/>
  <c r="AC32" i="4"/>
  <c r="AC33" i="4" s="1"/>
  <c r="AC40" i="4" s="1"/>
  <c r="AC47" i="4" s="1"/>
  <c r="AH84" i="4"/>
  <c r="AH86" i="4" s="1"/>
  <c r="AI83" i="4" s="1"/>
  <c r="AC61" i="4"/>
  <c r="AC64" i="4" s="1"/>
  <c r="AC50" i="4" l="1"/>
  <c r="AC51" i="4" s="1"/>
  <c r="AD56" i="4" s="1"/>
  <c r="AD57" i="4" s="1"/>
  <c r="AI84" i="4"/>
  <c r="AI86" i="4" s="1"/>
  <c r="AJ83" i="4" s="1"/>
  <c r="AC62" i="4"/>
  <c r="AD61" i="4" l="1"/>
  <c r="AD62" i="4" s="1"/>
  <c r="AJ84" i="4"/>
  <c r="AJ86" i="4" s="1"/>
  <c r="AK83" i="4" s="1"/>
  <c r="AD64" i="4" l="1"/>
  <c r="AD50" i="4" s="1"/>
  <c r="AD51" i="4" s="1"/>
  <c r="AE56" i="4" s="1"/>
  <c r="AE57" i="4" s="1"/>
  <c r="AK84" i="4"/>
  <c r="AK86" i="4" s="1"/>
  <c r="AL83" i="4" s="1"/>
  <c r="AE61" i="4" l="1"/>
  <c r="AE62" i="4" s="1"/>
  <c r="AL84" i="4"/>
  <c r="AL86" i="4" s="1"/>
  <c r="AM83" i="4" s="1"/>
  <c r="AE64" i="4" l="1"/>
  <c r="AE50" i="4" s="1"/>
  <c r="AE51" i="4" s="1"/>
  <c r="AF56" i="4" s="1"/>
  <c r="AF57" i="4" s="1"/>
  <c r="AM84" i="4"/>
  <c r="AM86" i="4" s="1"/>
  <c r="AN83" i="4" s="1"/>
  <c r="AF61" i="4" l="1"/>
  <c r="AF62" i="4" s="1"/>
  <c r="AN84" i="4"/>
  <c r="AN86" i="4" s="1"/>
  <c r="AF64" i="4" l="1"/>
  <c r="AF50" i="4" s="1"/>
  <c r="AF51" i="4" s="1"/>
  <c r="AG56" i="4" s="1"/>
  <c r="AG57" i="4" s="1"/>
  <c r="AG61" i="4" l="1"/>
  <c r="AG62" i="4" s="1"/>
  <c r="AG64" i="4" l="1"/>
  <c r="AG50" i="4" s="1"/>
  <c r="AG51" i="4" s="1"/>
  <c r="AH56" i="4" s="1"/>
  <c r="AH57" i="4" s="1"/>
  <c r="AH61" i="4" l="1"/>
  <c r="AH62" i="4" s="1"/>
  <c r="AH64" i="4" l="1"/>
  <c r="AH50" i="4" s="1"/>
  <c r="AH51" i="4" s="1"/>
  <c r="AI56" i="4" s="1"/>
  <c r="AI57" i="4" s="1"/>
  <c r="AI61" i="4" l="1"/>
  <c r="AI62" i="4" s="1"/>
  <c r="AI64" i="4" l="1"/>
  <c r="AI50" i="4" s="1"/>
  <c r="AI51" i="4" s="1"/>
  <c r="AJ56" i="4" s="1"/>
  <c r="AJ57" i="4" s="1"/>
  <c r="AJ61" i="4" l="1"/>
  <c r="AJ62" i="4" s="1"/>
  <c r="AJ64" i="4" l="1"/>
  <c r="AJ50" i="4" s="1"/>
  <c r="AJ51" i="4" s="1"/>
  <c r="AK56" i="4" s="1"/>
  <c r="AK57" i="4" s="1"/>
  <c r="AK61" i="4" l="1"/>
  <c r="AK62" i="4" s="1"/>
  <c r="AK64" i="4" l="1"/>
  <c r="AK50" i="4" s="1"/>
  <c r="AK51" i="4" s="1"/>
  <c r="AL56" i="4" s="1"/>
  <c r="AL57" i="4" s="1"/>
  <c r="AL61" i="4" l="1"/>
  <c r="AL62" i="4" s="1"/>
  <c r="AL64" i="4" l="1"/>
  <c r="AL50" i="4" s="1"/>
  <c r="AL51" i="4" s="1"/>
  <c r="AM56" i="4" s="1"/>
  <c r="AM57" i="4" s="1"/>
  <c r="AM61" i="4" l="1"/>
  <c r="AM62" i="4" s="1"/>
  <c r="AM64" i="4" l="1"/>
  <c r="AM50" i="4" s="1"/>
  <c r="AM51" i="4" s="1"/>
  <c r="AN56" i="4" s="1"/>
  <c r="AN57" i="4" s="1"/>
  <c r="AN61" i="4" l="1"/>
  <c r="AN62" i="4" s="1"/>
  <c r="AN64" i="4" l="1"/>
  <c r="AO64" i="4" s="1"/>
  <c r="AN50" i="4" l="1"/>
  <c r="AN51" i="4" s="1"/>
  <c r="D44" i="4"/>
  <c r="D46" i="4" s="1"/>
  <c r="C43" i="4"/>
  <c r="C44" i="4" s="1"/>
  <c r="E41" i="4" s="1"/>
  <c r="E39" i="4" l="1"/>
  <c r="E43" i="4"/>
  <c r="C46" i="4"/>
  <c r="C50" i="4" s="1"/>
  <c r="E40" i="4"/>
  <c r="E42" i="4"/>
  <c r="C51" i="4" l="1"/>
  <c r="D51" i="4" s="1"/>
  <c r="D50" i="4"/>
  <c r="E44" i="4"/>
  <c r="AA27" i="3"/>
  <c r="AA28" i="3" s="1"/>
  <c r="AC27" i="3"/>
  <c r="AC28" i="3" s="1"/>
  <c r="Z27" i="3"/>
  <c r="Z28" i="3" s="1"/>
  <c r="AB27" i="3"/>
  <c r="AB28" i="3" s="1"/>
  <c r="AB31" i="3" s="1"/>
  <c r="AD27" i="3"/>
  <c r="AD28" i="3" s="1"/>
  <c r="AD31" i="3" l="1"/>
  <c r="AD32" i="3" s="1"/>
  <c r="AD62" i="3"/>
  <c r="AD63" i="3" s="1"/>
  <c r="AC62" i="3"/>
  <c r="AC63" i="3" s="1"/>
  <c r="AC31" i="3"/>
  <c r="AC32" i="3" s="1"/>
  <c r="Z62" i="3"/>
  <c r="Z31" i="3"/>
  <c r="Z32" i="3" s="1"/>
  <c r="AA62" i="3"/>
  <c r="AA63" i="3" s="1"/>
  <c r="AB62" i="3"/>
  <c r="AB63" i="3" s="1"/>
  <c r="AB32" i="3"/>
  <c r="Z42" i="3" l="1"/>
  <c r="Z37" i="3"/>
  <c r="Z43" i="3" s="1"/>
  <c r="Z36" i="3"/>
  <c r="AC36" i="3"/>
  <c r="AC42" i="3"/>
  <c r="AC37" i="3"/>
  <c r="AC43" i="3" s="1"/>
  <c r="AB42" i="3"/>
  <c r="AB37" i="3"/>
  <c r="AB43" i="3" s="1"/>
  <c r="AB36" i="3"/>
  <c r="Z63" i="3"/>
  <c r="Z65" i="3" s="1"/>
  <c r="AD37" i="3"/>
  <c r="AD43" i="3" s="1"/>
  <c r="AD36" i="3"/>
  <c r="AD42" i="3"/>
  <c r="AD45" i="3" l="1"/>
  <c r="AD96" i="3" s="1"/>
  <c r="Z68" i="3"/>
  <c r="Z66" i="3"/>
  <c r="Z45" i="3"/>
  <c r="Z96" i="3" s="1"/>
  <c r="Z97" i="3" s="1"/>
  <c r="AA94" i="3" s="1"/>
  <c r="AB45" i="3"/>
  <c r="AB96" i="3" s="1"/>
  <c r="AC45" i="3"/>
  <c r="AC96" i="3" s="1"/>
  <c r="AB46" i="3" l="1"/>
  <c r="AC46" i="3"/>
  <c r="Z46" i="3"/>
  <c r="AD46" i="3"/>
  <c r="Z48" i="3" l="1"/>
  <c r="Z102" i="3" s="1"/>
  <c r="Z103" i="3" s="1"/>
  <c r="AA100" i="3" s="1"/>
  <c r="AD48" i="3"/>
  <c r="AD102" i="3" s="1"/>
  <c r="AC48" i="3"/>
  <c r="AC102" i="3" s="1"/>
  <c r="AB48" i="3"/>
  <c r="AB102" i="3" s="1"/>
  <c r="AC49" i="3" l="1"/>
  <c r="AD49" i="3"/>
  <c r="AB49" i="3"/>
  <c r="Z49" i="3"/>
  <c r="Z51" i="3" l="1"/>
  <c r="Z108" i="3" s="1"/>
  <c r="Z109" i="3" s="1"/>
  <c r="AA106" i="3" s="1"/>
  <c r="AB51" i="3"/>
  <c r="AB108" i="3" s="1"/>
  <c r="AD51" i="3"/>
  <c r="AD108" i="3" s="1"/>
  <c r="AC51" i="3"/>
  <c r="AC108" i="3" s="1"/>
  <c r="Z52" i="3" l="1"/>
  <c r="Z55" i="3" s="1"/>
  <c r="AA60" i="3" s="1"/>
  <c r="AC52" i="3"/>
  <c r="AB52" i="3"/>
  <c r="AD52" i="3"/>
  <c r="Z56" i="3" l="1"/>
  <c r="AA65" i="3"/>
  <c r="AA61" i="3"/>
  <c r="AA31" i="3"/>
  <c r="AA32" i="3" s="1"/>
  <c r="AA37" i="3" l="1"/>
  <c r="AA43" i="3" s="1"/>
  <c r="AA36" i="3"/>
  <c r="AA42" i="3"/>
  <c r="AA66" i="3"/>
  <c r="AA68" i="3"/>
  <c r="AA45" i="3" l="1"/>
  <c r="AA96" i="3" s="1"/>
  <c r="AA97" i="3" s="1"/>
  <c r="AB94" i="3" s="1"/>
  <c r="AB97" i="3" s="1"/>
  <c r="AC94" i="3" s="1"/>
  <c r="AC97" i="3" s="1"/>
  <c r="AD94" i="3" s="1"/>
  <c r="AD97" i="3" s="1"/>
  <c r="AE94" i="3" s="1"/>
  <c r="AA46" i="3" l="1"/>
  <c r="AA48" i="3" l="1"/>
  <c r="AA102" i="3" s="1"/>
  <c r="AA103" i="3" s="1"/>
  <c r="AB100" i="3" s="1"/>
  <c r="AB103" i="3" s="1"/>
  <c r="AC100" i="3" s="1"/>
  <c r="AC103" i="3" s="1"/>
  <c r="AD100" i="3" s="1"/>
  <c r="AD103" i="3" s="1"/>
  <c r="AE100" i="3" s="1"/>
  <c r="AA49" i="3" l="1"/>
  <c r="AA51" i="3" s="1"/>
  <c r="AA108" i="3" s="1"/>
  <c r="AA109" i="3" s="1"/>
  <c r="AB106" i="3" s="1"/>
  <c r="AB109" i="3" s="1"/>
  <c r="AC106" i="3" s="1"/>
  <c r="AC109" i="3" s="1"/>
  <c r="AD106" i="3" s="1"/>
  <c r="AD109" i="3" s="1"/>
  <c r="AE106" i="3" s="1"/>
  <c r="AA52" i="3" l="1"/>
  <c r="AA55" i="3" l="1"/>
  <c r="AB60" i="3" s="1"/>
  <c r="AB65" i="3" l="1"/>
  <c r="AB61" i="3"/>
  <c r="AA56" i="3"/>
  <c r="AB66" i="3" l="1"/>
  <c r="AB68" i="3"/>
  <c r="AB55" i="3" l="1"/>
  <c r="AB56" i="3" l="1"/>
  <c r="AC60" i="3"/>
  <c r="AC61" i="3" l="1"/>
  <c r="AC65" i="3"/>
  <c r="AC66" i="3" l="1"/>
  <c r="AC68" i="3"/>
  <c r="AC55" i="3" s="1"/>
  <c r="AC56" i="3" s="1"/>
  <c r="AD60" i="3" l="1"/>
  <c r="AD61" i="3" s="1"/>
  <c r="AD65" i="3" l="1"/>
  <c r="AD68" i="3" s="1"/>
  <c r="AD55" i="3" s="1"/>
  <c r="AD56" i="3" s="1"/>
  <c r="AD66" i="3" l="1"/>
  <c r="AE60" i="3"/>
  <c r="AE61" i="3" l="1"/>
  <c r="AN27" i="3"/>
  <c r="AN28" i="3" s="1"/>
  <c r="AG27" i="3"/>
  <c r="AG28" i="3" s="1"/>
  <c r="AG62" i="3" s="1"/>
  <c r="AG63" i="3" s="1"/>
  <c r="AF27" i="3"/>
  <c r="AF28" i="3" s="1"/>
  <c r="AK27" i="3"/>
  <c r="AK28" i="3" s="1"/>
  <c r="AL27" i="3"/>
  <c r="AL28" i="3" s="1"/>
  <c r="AL62" i="3" s="1"/>
  <c r="AL63" i="3" s="1"/>
  <c r="AJ27" i="3"/>
  <c r="AJ28" i="3" s="1"/>
  <c r="AH27" i="3"/>
  <c r="AH28" i="3" s="1"/>
  <c r="AM27" i="3"/>
  <c r="AM28" i="3" s="1"/>
  <c r="AI27" i="3"/>
  <c r="AI28" i="3" s="1"/>
  <c r="AI31" i="3" s="1"/>
  <c r="AI32" i="3" s="1"/>
  <c r="AE27" i="3"/>
  <c r="AE28" i="3" s="1"/>
  <c r="AE31" i="3" s="1"/>
  <c r="AE32" i="3" s="1"/>
  <c r="AJ62" i="3" l="1"/>
  <c r="AJ63" i="3" s="1"/>
  <c r="AJ31" i="3"/>
  <c r="AJ32" i="3" s="1"/>
  <c r="AK62" i="3"/>
  <c r="AK63" i="3" s="1"/>
  <c r="AK31" i="3"/>
  <c r="AK32" i="3" s="1"/>
  <c r="AK37" i="3" s="1"/>
  <c r="AK43" i="3" s="1"/>
  <c r="AL31" i="3"/>
  <c r="AL32" i="3" s="1"/>
  <c r="AL42" i="3" s="1"/>
  <c r="AI62" i="3"/>
  <c r="AI63" i="3" s="1"/>
  <c r="AE36" i="3"/>
  <c r="AE37" i="3"/>
  <c r="AE43" i="3" s="1"/>
  <c r="AE42" i="3"/>
  <c r="AM62" i="3"/>
  <c r="AM63" i="3" s="1"/>
  <c r="AM31" i="3"/>
  <c r="AM32" i="3" s="1"/>
  <c r="AH31" i="3"/>
  <c r="AH32" i="3" s="1"/>
  <c r="AH62" i="3"/>
  <c r="AH63" i="3" s="1"/>
  <c r="AF62" i="3"/>
  <c r="AF63" i="3" s="1"/>
  <c r="AF31" i="3"/>
  <c r="AF32" i="3" s="1"/>
  <c r="AI37" i="3"/>
  <c r="AI43" i="3" s="1"/>
  <c r="AI42" i="3"/>
  <c r="AI36" i="3"/>
  <c r="AN62" i="3"/>
  <c r="AN63" i="3" s="1"/>
  <c r="AN31" i="3"/>
  <c r="AN32" i="3" s="1"/>
  <c r="AG31" i="3"/>
  <c r="AG32" i="3" s="1"/>
  <c r="AE62" i="3"/>
  <c r="AK42" i="3" l="1"/>
  <c r="AK36" i="3"/>
  <c r="AL37" i="3"/>
  <c r="AL43" i="3" s="1"/>
  <c r="AL45" i="3" s="1"/>
  <c r="AL96" i="3" s="1"/>
  <c r="AL36" i="3"/>
  <c r="AJ37" i="3"/>
  <c r="AJ43" i="3" s="1"/>
  <c r="AJ45" i="3" s="1"/>
  <c r="AJ96" i="3" s="1"/>
  <c r="AJ42" i="3"/>
  <c r="AJ36" i="3"/>
  <c r="AF37" i="3"/>
  <c r="AF43" i="3" s="1"/>
  <c r="AF42" i="3"/>
  <c r="AF36" i="3"/>
  <c r="AH36" i="3"/>
  <c r="AH37" i="3"/>
  <c r="AH43" i="3" s="1"/>
  <c r="AH42" i="3"/>
  <c r="AM37" i="3"/>
  <c r="AM43" i="3" s="1"/>
  <c r="AM36" i="3"/>
  <c r="AM42" i="3"/>
  <c r="AN36" i="3"/>
  <c r="AN42" i="3"/>
  <c r="AN37" i="3"/>
  <c r="AN43" i="3" s="1"/>
  <c r="AG42" i="3"/>
  <c r="AG36" i="3"/>
  <c r="AG37" i="3"/>
  <c r="AG43" i="3" s="1"/>
  <c r="AK45" i="3"/>
  <c r="AK96" i="3" s="1"/>
  <c r="AE45" i="3"/>
  <c r="AE96" i="3" s="1"/>
  <c r="AE97" i="3" s="1"/>
  <c r="AF94" i="3" s="1"/>
  <c r="AI45" i="3"/>
  <c r="AI96" i="3" s="1"/>
  <c r="AE63" i="3"/>
  <c r="AE65" i="3" s="1"/>
  <c r="AO62" i="3"/>
  <c r="W61" i="3" s="1"/>
  <c r="AJ46" i="3" l="1"/>
  <c r="AJ48" i="3" s="1"/>
  <c r="AJ102" i="3" s="1"/>
  <c r="AI46" i="3"/>
  <c r="AI48" i="3" s="1"/>
  <c r="AI102" i="3" s="1"/>
  <c r="AL46" i="3"/>
  <c r="AL48" i="3" s="1"/>
  <c r="AL102" i="3" s="1"/>
  <c r="AN45" i="3"/>
  <c r="AN96" i="3" s="1"/>
  <c r="AE68" i="3"/>
  <c r="AE66" i="3"/>
  <c r="AE46" i="3"/>
  <c r="AM45" i="3"/>
  <c r="AM96" i="3" s="1"/>
  <c r="AK46" i="3"/>
  <c r="AH45" i="3"/>
  <c r="AH96" i="3" s="1"/>
  <c r="AG45" i="3"/>
  <c r="AG96" i="3" s="1"/>
  <c r="AF45" i="3"/>
  <c r="AF96" i="3" s="1"/>
  <c r="AF97" i="3" s="1"/>
  <c r="AG94" i="3" s="1"/>
  <c r="AN46" i="3" l="1"/>
  <c r="AN48" i="3" s="1"/>
  <c r="AN102" i="3" s="1"/>
  <c r="AG97" i="3"/>
  <c r="AH94" i="3" s="1"/>
  <c r="AH97" i="3" s="1"/>
  <c r="AI94" i="3" s="1"/>
  <c r="AI97" i="3" s="1"/>
  <c r="AJ94" i="3" s="1"/>
  <c r="AJ97" i="3" s="1"/>
  <c r="AK94" i="3" s="1"/>
  <c r="AK97" i="3" s="1"/>
  <c r="AL94" i="3" s="1"/>
  <c r="AL97" i="3" s="1"/>
  <c r="AM94" i="3" s="1"/>
  <c r="AM97" i="3" s="1"/>
  <c r="AN94" i="3" s="1"/>
  <c r="AN97" i="3" s="1"/>
  <c r="AL49" i="3"/>
  <c r="AL51" i="3" s="1"/>
  <c r="AL108" i="3" s="1"/>
  <c r="AM46" i="3"/>
  <c r="AE48" i="3"/>
  <c r="AE102" i="3" s="1"/>
  <c r="AE103" i="3" s="1"/>
  <c r="AF100" i="3" s="1"/>
  <c r="AK48" i="3"/>
  <c r="AK102" i="3" s="1"/>
  <c r="AJ49" i="3"/>
  <c r="AF46" i="3"/>
  <c r="AG46" i="3"/>
  <c r="AI49" i="3"/>
  <c r="AH46" i="3"/>
  <c r="AN49" i="3" l="1"/>
  <c r="AL52" i="3"/>
  <c r="AH48" i="3"/>
  <c r="AH102" i="3" s="1"/>
  <c r="AI51" i="3"/>
  <c r="AI108" i="3" s="1"/>
  <c r="AG48" i="3"/>
  <c r="AG102" i="3" s="1"/>
  <c r="AF48" i="3"/>
  <c r="AF102" i="3" s="1"/>
  <c r="AF103" i="3" s="1"/>
  <c r="AG100" i="3" s="1"/>
  <c r="AJ51" i="3"/>
  <c r="AJ108" i="3" s="1"/>
  <c r="AK49" i="3"/>
  <c r="AE49" i="3"/>
  <c r="AM48" i="3"/>
  <c r="AM102" i="3" s="1"/>
  <c r="AG103" i="3" l="1"/>
  <c r="AH100" i="3" s="1"/>
  <c r="AH103" i="3" s="1"/>
  <c r="AI100" i="3" s="1"/>
  <c r="AI103" i="3" s="1"/>
  <c r="AJ100" i="3" s="1"/>
  <c r="AJ103" i="3" s="1"/>
  <c r="AK100" i="3" s="1"/>
  <c r="AK103" i="3" s="1"/>
  <c r="AL100" i="3" s="1"/>
  <c r="AL103" i="3" s="1"/>
  <c r="AM100" i="3" s="1"/>
  <c r="AM103" i="3" s="1"/>
  <c r="AN100" i="3" s="1"/>
  <c r="AN103" i="3" s="1"/>
  <c r="AI52" i="3"/>
  <c r="AK51" i="3"/>
  <c r="AK108" i="3" s="1"/>
  <c r="AJ52" i="3"/>
  <c r="AF49" i="3"/>
  <c r="AG49" i="3"/>
  <c r="AH49" i="3"/>
  <c r="AM49" i="3"/>
  <c r="AE51" i="3"/>
  <c r="AE108" i="3" s="1"/>
  <c r="AE109" i="3" s="1"/>
  <c r="AF106" i="3" s="1"/>
  <c r="AN51" i="3"/>
  <c r="AN108" i="3" s="1"/>
  <c r="AN52" i="3" l="1"/>
  <c r="AE52" i="3"/>
  <c r="AE55" i="3" s="1"/>
  <c r="AF60" i="3" s="1"/>
  <c r="AM51" i="3"/>
  <c r="AM108" i="3" s="1"/>
  <c r="AH51" i="3"/>
  <c r="AH108" i="3" s="1"/>
  <c r="AF51" i="3"/>
  <c r="AF108" i="3" s="1"/>
  <c r="AF109" i="3" s="1"/>
  <c r="AG106" i="3" s="1"/>
  <c r="AK52" i="3"/>
  <c r="AG51" i="3"/>
  <c r="AG108" i="3" s="1"/>
  <c r="AG109" i="3" l="1"/>
  <c r="AH106" i="3" s="1"/>
  <c r="AH109" i="3" s="1"/>
  <c r="AI106" i="3" s="1"/>
  <c r="AI109" i="3" s="1"/>
  <c r="AJ106" i="3" s="1"/>
  <c r="AJ109" i="3" s="1"/>
  <c r="AK106" i="3" s="1"/>
  <c r="AK109" i="3" s="1"/>
  <c r="AL106" i="3" s="1"/>
  <c r="AL109" i="3" s="1"/>
  <c r="AM106" i="3" s="1"/>
  <c r="AM109" i="3" s="1"/>
  <c r="AN106" i="3" s="1"/>
  <c r="AN109" i="3" s="1"/>
  <c r="AF61" i="3"/>
  <c r="AF65" i="3"/>
  <c r="AM52" i="3"/>
  <c r="AG52" i="3"/>
  <c r="AE56" i="3"/>
  <c r="AF52" i="3"/>
  <c r="AH52" i="3"/>
  <c r="AF68" i="3" l="1"/>
  <c r="AF66" i="3"/>
  <c r="AF55" i="3" l="1"/>
  <c r="AF56" i="3" l="1"/>
  <c r="AG60" i="3"/>
  <c r="AG65" i="3" l="1"/>
  <c r="AG61" i="3"/>
  <c r="AG68" i="3" l="1"/>
  <c r="AG66" i="3"/>
  <c r="AG55" i="3" l="1"/>
  <c r="AG56" i="3" l="1"/>
  <c r="AH60" i="3"/>
  <c r="AH61" i="3" l="1"/>
  <c r="AH65" i="3"/>
  <c r="AH68" i="3" l="1"/>
  <c r="AH55" i="3" s="1"/>
  <c r="AH56" i="3" s="1"/>
  <c r="AH66" i="3"/>
  <c r="AI60" i="3" l="1"/>
  <c r="AI65" i="3" l="1"/>
  <c r="AI61" i="3"/>
  <c r="AI68" i="3" l="1"/>
  <c r="AI55" i="3" s="1"/>
  <c r="AI56" i="3" s="1"/>
  <c r="AI66" i="3"/>
  <c r="AJ60" i="3" l="1"/>
  <c r="AJ65" i="3" l="1"/>
  <c r="AJ61" i="3"/>
  <c r="AJ66" i="3" l="1"/>
  <c r="AJ68" i="3"/>
  <c r="AJ55" i="3" s="1"/>
  <c r="AJ56" i="3" s="1"/>
  <c r="AK60" i="3" l="1"/>
  <c r="AK61" i="3" l="1"/>
  <c r="AK65" i="3"/>
  <c r="AK68" i="3" l="1"/>
  <c r="AK55" i="3" s="1"/>
  <c r="AK56" i="3" s="1"/>
  <c r="AK66" i="3"/>
  <c r="AL60" i="3" l="1"/>
  <c r="AL61" i="3" s="1"/>
  <c r="AL65" i="3" l="1"/>
  <c r="AL68" i="3" s="1"/>
  <c r="AL55" i="3" s="1"/>
  <c r="AL56" i="3" s="1"/>
  <c r="AL66" i="3" l="1"/>
  <c r="AM60" i="3"/>
  <c r="AM65" i="3" s="1"/>
  <c r="AM61" i="3" l="1"/>
  <c r="AM68" i="3"/>
  <c r="AM55" i="3" s="1"/>
  <c r="AM56" i="3" s="1"/>
  <c r="AM66" i="3"/>
  <c r="AN60" i="3" l="1"/>
  <c r="AN61" i="3" s="1"/>
  <c r="AN65" i="3" l="1"/>
  <c r="AN66" i="3" s="1"/>
  <c r="AN68" i="3" l="1"/>
  <c r="AN55" i="3" s="1"/>
  <c r="AN56" i="3" s="1"/>
  <c r="AO68"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Alex Cabral</author>
    <author>James Yelen</author>
    <author>tc={7E6E12E6-8571-4265-8383-AC351FEDAB6A}</author>
  </authors>
  <commentList>
    <comment ref="T3" authorId="0" shapeId="0" xr:uid="{2FE7B3BA-DAE3-42CA-B3D7-66EE9975E6E5}">
      <text>
        <r>
          <rPr>
            <b/>
            <sz val="9"/>
            <color indexed="81"/>
            <rFont val="Tahoma"/>
            <family val="2"/>
          </rPr>
          <t>Alex Cabral:</t>
        </r>
        <r>
          <rPr>
            <sz val="9"/>
            <color indexed="81"/>
            <rFont val="Tahoma"/>
            <family val="2"/>
          </rPr>
          <t xml:space="preserve">
This Operating Pro Forma does not represent operations during the Acq/Rehab phase, where there may be vacant units, remodelding, utility shutoffs, tenant relocation, and other costs and impacts to income.</t>
        </r>
      </text>
    </comment>
    <comment ref="X3" authorId="0" shapeId="0" xr:uid="{976F6604-1CE6-4D57-A29F-DDF9D031CCF6}">
      <text>
        <r>
          <rPr>
            <b/>
            <sz val="9"/>
            <color indexed="81"/>
            <rFont val="Tahoma"/>
            <family val="2"/>
          </rPr>
          <t>Alex Cabral:</t>
        </r>
        <r>
          <rPr>
            <sz val="9"/>
            <color indexed="81"/>
            <rFont val="Tahoma"/>
            <family val="2"/>
          </rPr>
          <t xml:space="preserve">
This Operating Pro Forma does not represent operations during the Acq/Rehab phase, where there may be vacant units, remodelding, utility shutoffs, tenant relocation, and other costs and impacts to income.</t>
        </r>
      </text>
    </comment>
    <comment ref="Y4" authorId="0" shapeId="0" xr:uid="{6336FCDC-9F59-4EE7-A38A-66B9D19D8EB0}">
      <text>
        <r>
          <rPr>
            <b/>
            <sz val="9"/>
            <color indexed="81"/>
            <rFont val="Tahoma"/>
            <family val="2"/>
          </rPr>
          <t>Alex Cabral:</t>
        </r>
        <r>
          <rPr>
            <sz val="9"/>
            <color indexed="81"/>
            <rFont val="Tahoma"/>
            <family val="2"/>
          </rPr>
          <t xml:space="preserve">
Year 0 represents the Acq/Rehab period, which typically lasts anywhere from 6 months to a few years.
Operations are not calculated for this period and will need to be calculated in a separate model or built into this model.
This is because assumptions vary widely between projects, including tenant relocation, partial rents, varying utility costs, etc. Operations have been left out for simplicity's sake.
Year 1 represents the first stabilized year of operations.
</t>
        </r>
      </text>
    </comment>
    <comment ref="Z4" authorId="0" shapeId="0" xr:uid="{3BB0ABB9-BC32-4BFE-AE80-7EC9C8583310}">
      <text>
        <r>
          <rPr>
            <b/>
            <sz val="9"/>
            <color indexed="81"/>
            <rFont val="Tahoma"/>
            <family val="2"/>
          </rPr>
          <t>Alex Cabral:</t>
        </r>
        <r>
          <rPr>
            <sz val="9"/>
            <color indexed="81"/>
            <rFont val="Tahoma"/>
            <family val="2"/>
          </rPr>
          <t xml:space="preserve">
'Year 1' represents the start of the Perm phase. This Operating Pro Forma does not represent operations during the Acq/Rehab phase, where there may be vacant units, remodelding, utility shutoffs, tenant relocation, and other costs and impacts to income.</t>
        </r>
      </text>
    </comment>
    <comment ref="T11" authorId="0" shapeId="0" xr:uid="{1840057D-4B01-464C-AB3A-1474EFB13A85}">
      <text>
        <r>
          <rPr>
            <b/>
            <sz val="9"/>
            <color indexed="81"/>
            <rFont val="Tahoma"/>
            <family val="2"/>
          </rPr>
          <t>Alex Cabral:</t>
        </r>
        <r>
          <rPr>
            <sz val="9"/>
            <color indexed="81"/>
            <rFont val="Tahoma"/>
            <family val="2"/>
          </rPr>
          <t xml:space="preserve">
'Year 1' represents the start of the Perm phase. This Operating Pro Forma does not represent operations during the Acq/Rehab phase, where there may be vacant units, remodelding, utility shutoffs, tenant relocation, and other costs and impacts to income.</t>
        </r>
      </text>
    </comment>
    <comment ref="Q13" authorId="1" shapeId="0" xr:uid="{EDE825A4-4E05-433B-876C-BED87523D855}">
      <text>
        <r>
          <rPr>
            <sz val="9"/>
            <color indexed="81"/>
            <rFont val="Tahoma"/>
            <family val="2"/>
          </rPr>
          <t xml:space="preserve">Restricted units only 
</t>
        </r>
      </text>
    </comment>
    <comment ref="Q14" authorId="1" shapeId="0" xr:uid="{EC30A420-9766-4E06-81FC-1283C31B7902}">
      <text>
        <r>
          <rPr>
            <sz val="9"/>
            <color indexed="81"/>
            <rFont val="Tahoma"/>
            <family val="2"/>
          </rPr>
          <t>For determining pro rata application of Welfare Tax Exemption</t>
        </r>
      </text>
    </comment>
    <comment ref="T14" authorId="0" shapeId="0" xr:uid="{13EC0F49-46D6-438E-8A92-38D925E67574}">
      <text>
        <r>
          <rPr>
            <b/>
            <sz val="9"/>
            <color indexed="81"/>
            <rFont val="Tahoma"/>
            <family val="2"/>
          </rPr>
          <t>Alex Cabral:</t>
        </r>
        <r>
          <rPr>
            <sz val="9"/>
            <color indexed="81"/>
            <rFont val="Tahoma"/>
            <family val="2"/>
          </rPr>
          <t xml:space="preserve">
WTE: Welfare Tax Exemption</t>
        </r>
      </text>
    </comment>
    <comment ref="X14" authorId="1" shapeId="0" xr:uid="{84366DDD-144C-4393-A607-7147EB2A03E6}">
      <text>
        <r>
          <rPr>
            <sz val="9"/>
            <color indexed="81"/>
            <rFont val="Tahoma"/>
            <family val="2"/>
          </rPr>
          <t xml:space="preserve">The WTE, kicking in at Year 3, applies on a pro rata basis for all units restricted at 80% AMI or below. Projects with at least 90% of such units receive the full WTE. </t>
        </r>
      </text>
    </comment>
    <comment ref="T15" authorId="0" shapeId="0" xr:uid="{B46BA2FB-0E84-47F5-8D7F-251238169AA3}">
      <text>
        <r>
          <rPr>
            <b/>
            <sz val="9"/>
            <color indexed="81"/>
            <rFont val="Tahoma"/>
            <family val="2"/>
          </rPr>
          <t>Alex Cabral:</t>
        </r>
        <r>
          <rPr>
            <sz val="9"/>
            <color indexed="81"/>
            <rFont val="Tahoma"/>
            <family val="2"/>
          </rPr>
          <t xml:space="preserve">
WTE: Welfare Tax Exemption</t>
        </r>
      </text>
    </comment>
    <comment ref="B20" authorId="1" shapeId="0" xr:uid="{76B10829-B91F-4925-A482-A2F2E1D76EFD}">
      <text>
        <r>
          <rPr>
            <b/>
            <sz val="9"/>
            <color indexed="81"/>
            <rFont val="Tahoma"/>
            <family val="2"/>
          </rPr>
          <t>James Yelen:</t>
        </r>
        <r>
          <rPr>
            <sz val="9"/>
            <color indexed="81"/>
            <rFont val="Tahoma"/>
            <family val="2"/>
          </rPr>
          <t xml:space="preserve">
Based on selected loan-to-cost ratio</t>
        </r>
      </text>
    </comment>
    <comment ref="B21" authorId="0" shapeId="0" xr:uid="{83E75D66-F8B0-4BF7-85A6-5585F3971B01}">
      <text>
        <r>
          <rPr>
            <b/>
            <sz val="9"/>
            <color indexed="81"/>
            <rFont val="Tahoma"/>
            <family val="2"/>
          </rPr>
          <t>Alex Cabral:</t>
        </r>
        <r>
          <rPr>
            <sz val="9"/>
            <color indexed="81"/>
            <rFont val="Tahoma"/>
            <family val="2"/>
          </rPr>
          <t xml:space="preserve">
Subordinate Loan #1 (IO-&gt;P&amp;I) has two payment options:
</t>
        </r>
        <r>
          <rPr>
            <b/>
            <sz val="9"/>
            <color indexed="81"/>
            <rFont val="Tahoma"/>
            <family val="2"/>
          </rPr>
          <t>1) Interest-only during Acq/Rehab phase and repaid alongside repayment of Acq/Rehab Senior Loan (ie at conversion to Perm).</t>
        </r>
        <r>
          <rPr>
            <sz val="9"/>
            <color indexed="81"/>
            <rFont val="Tahoma"/>
            <family val="2"/>
          </rPr>
          <t xml:space="preserve">
 In this case, you will see the full loan amount appear in the Repayment - Sub Loan #1  in the S&amp;U Summary under Permanent Uses. 
The calculation: if the Sub Loan #1 Loan Term is less than or equal to the Acq/Rehab Senior Loan Term, Sub Loan #1 Loan will repay at conversion to Perm.
</t>
        </r>
        <r>
          <rPr>
            <b/>
            <sz val="9"/>
            <color indexed="81"/>
            <rFont val="Tahoma"/>
            <family val="2"/>
          </rPr>
          <t>2) Interest-only during Acq/Rehab phase and remains outstanding in the Perm Phase</t>
        </r>
        <r>
          <rPr>
            <sz val="9"/>
            <color indexed="81"/>
            <rFont val="Tahoma"/>
            <family val="2"/>
          </rPr>
          <t>. 
In this case, you will see $0 appear in the Repayment - Sub Loan #1 and in the Perm Funding Sources table,  will have the option to input an amortization period and DSCR covenant. WIth this information, P&amp;I payments appears in the 15 Yr Operating Pro Forma table.
If using method #2, the Sub Loan #1 can have up to an additional 3 years of Interest-Only payments.</t>
        </r>
      </text>
    </comment>
    <comment ref="R28" authorId="0" shapeId="0" xr:uid="{951FF975-BCE5-4AAF-A45E-A1E0CEF506D3}">
      <text>
        <r>
          <rPr>
            <b/>
            <sz val="9"/>
            <color indexed="81"/>
            <rFont val="Tahoma"/>
            <family val="2"/>
          </rPr>
          <t>Alex Cabral:</t>
        </r>
        <r>
          <rPr>
            <sz val="9"/>
            <color indexed="81"/>
            <rFont val="Tahoma"/>
            <family val="2"/>
          </rPr>
          <t xml:space="preserve">
The $ Amount of the Perm Senior Loan is sized to be the lesser of 
i) Max  LTV % (based on the total appraised market value of all units x the LTV % input into the Perm Funding Soruces table ) OR
 ii) Max DSCR (based on Year 1  Net Operting Income and the DSCR covenant  input into the Perm Funding Soruces table)
More often than not, the DSCR-sized amount is the lower loan amount, and the loan will be sized to meet DSCR requirements.</t>
        </r>
      </text>
    </comment>
    <comment ref="W30" authorId="0" shapeId="0" xr:uid="{C08BCB07-AB05-4923-B917-7EF96E7E6309}">
      <text>
        <r>
          <rPr>
            <b/>
            <sz val="9"/>
            <color indexed="81"/>
            <rFont val="Tahoma"/>
            <family val="2"/>
          </rPr>
          <t>Alex Cabral:</t>
        </r>
        <r>
          <rPr>
            <sz val="9"/>
            <color indexed="81"/>
            <rFont val="Tahoma"/>
            <family val="2"/>
          </rPr>
          <t xml:space="preserve">
This cell is asking if you want to allow the borrower to use funds in its Operating Reserve to fill any gaps in cash flow, thereby keeping the senior and subordinate debt payments current (excluding residual receipts due to their unique repayment structure).</t>
        </r>
      </text>
    </comment>
    <comment ref="R33" authorId="0" shapeId="0" xr:uid="{035B035E-AF67-465F-896D-A7FBCBEBC9EC}">
      <text>
        <r>
          <rPr>
            <b/>
            <sz val="9"/>
            <color indexed="81"/>
            <rFont val="Tahoma"/>
            <family val="2"/>
          </rPr>
          <t>Alex Cabral:</t>
        </r>
        <r>
          <rPr>
            <sz val="9"/>
            <color indexed="81"/>
            <rFont val="Tahoma"/>
            <family val="2"/>
          </rPr>
          <t xml:space="preserve">
Model only permits max 10 years IO period</t>
        </r>
      </text>
    </comment>
    <comment ref="B37" authorId="0" shapeId="0" xr:uid="{30DC6301-4C5F-44CB-A147-CC1481675645}">
      <text>
        <r>
          <rPr>
            <b/>
            <sz val="9"/>
            <color indexed="81"/>
            <rFont val="Tahoma"/>
            <family val="2"/>
          </rPr>
          <t>Alex Cabral:</t>
        </r>
        <r>
          <rPr>
            <sz val="9"/>
            <color indexed="81"/>
            <rFont val="Tahoma"/>
            <family val="2"/>
          </rPr>
          <t xml:space="preserve">
Subordinate Loan #1 (IO-&gt;P&amp;I) has two payment options:
</t>
        </r>
        <r>
          <rPr>
            <b/>
            <sz val="9"/>
            <color indexed="81"/>
            <rFont val="Tahoma"/>
            <family val="2"/>
          </rPr>
          <t>1) Interest-only during Acq/Rehab phase and repaid alongside repayment of Acq/Rehab Senior Loan (ie at conversion to Perm).</t>
        </r>
        <r>
          <rPr>
            <sz val="9"/>
            <color indexed="81"/>
            <rFont val="Tahoma"/>
            <family val="2"/>
          </rPr>
          <t xml:space="preserve">
 In this case, you will see the full loan amount appear in the Repayment - Sub Loan #1  in the S&amp;U Summary under Permanent Uses. 
The calculation: if the Sub Loan #1 Loan Term is less than or equal to the Acq/Rehab Senior Loan Term, Sub Loan #1 Loan will repay at conversion to Perm.
</t>
        </r>
        <r>
          <rPr>
            <b/>
            <sz val="9"/>
            <color indexed="81"/>
            <rFont val="Tahoma"/>
            <family val="2"/>
          </rPr>
          <t>2) Interest-only during Acq/Rehab phase and remains outstanding in the Perm Phase.</t>
        </r>
        <r>
          <rPr>
            <sz val="9"/>
            <color indexed="81"/>
            <rFont val="Tahoma"/>
            <family val="2"/>
          </rPr>
          <t xml:space="preserve"> 
In this case, you will see $0 appear in the Repayment - Sub Loan #1 and in the Perm Funding Sources table,  will have the option to input an amortization period and DSCR covenant. WIth this information, P&amp;I payments appears in the 15 Yr Operating Pro Forma table.
If using method #2, the Sub Loan #1 can have up to an additional 3 years of Interest-Only payments.</t>
        </r>
      </text>
    </comment>
    <comment ref="S39" authorId="0" shapeId="0" xr:uid="{AC6134EE-5968-4534-A211-303FC880CE82}">
      <text>
        <r>
          <rPr>
            <b/>
            <sz val="9"/>
            <color indexed="81"/>
            <rFont val="Tahoma"/>
            <family val="2"/>
          </rPr>
          <t>Alex Cabral:</t>
        </r>
        <r>
          <rPr>
            <sz val="9"/>
            <color indexed="81"/>
            <rFont val="Tahoma"/>
            <family val="2"/>
          </rPr>
          <t xml:space="preserve">
Based on Net Operating Income. The Year moves based on the Interest Only Period. 
For example, if IO period is 2 years, DSCR-based loan amount will be based on NOI of Year 3 (which is when the property tax welfare exemptiion is assumed to take effect)
</t>
        </r>
      </text>
    </comment>
    <comment ref="B41" authorId="0" shapeId="0" xr:uid="{066635A0-4A4B-4FD3-8FC8-B50FB6C1D04F}">
      <text>
        <r>
          <rPr>
            <b/>
            <sz val="9"/>
            <color indexed="81"/>
            <rFont val="Tahoma"/>
            <family val="2"/>
          </rPr>
          <t>Alex Cabral:</t>
        </r>
        <r>
          <rPr>
            <sz val="9"/>
            <color indexed="81"/>
            <rFont val="Tahoma"/>
            <family val="2"/>
          </rPr>
          <t xml:space="preserve">
The $ Amount of the Perm Senior Loan is sized to be the lesser of 
i) Max  LTV % (based on the total appraised market value of all units x the LTV % input into the Perm Funding Soruces table ) OR
 ii) Max DSCR (based on Year 1  Net Operting Income and the DSCR covenant  input into the Perm Funding Soruces table)
More often than not, the DSCR-sized amount is the lower loan amount, and the loan will be sized to meet DSCR requirements</t>
        </r>
      </text>
    </comment>
    <comment ref="R43" authorId="0" shapeId="0" xr:uid="{23C782FA-D9B1-400F-AE3E-1D91C6477D86}">
      <text>
        <r>
          <rPr>
            <b/>
            <sz val="9"/>
            <color indexed="81"/>
            <rFont val="Tahoma"/>
            <family val="2"/>
          </rPr>
          <t>Alex Cabral:</t>
        </r>
        <r>
          <rPr>
            <sz val="9"/>
            <color indexed="81"/>
            <rFont val="Tahoma"/>
            <family val="2"/>
          </rPr>
          <t xml:space="preserve">
Subordinate Loan #1 (IO-&gt;P&amp;I) has two payment options:
</t>
        </r>
        <r>
          <rPr>
            <b/>
            <sz val="9"/>
            <color indexed="81"/>
            <rFont val="Tahoma"/>
            <family val="2"/>
          </rPr>
          <t>1) Interest-only during Acq/Rehab phase and repaid alongside repayment of Acq/Rehab Senior Loan (ie at conversion to Perm).</t>
        </r>
        <r>
          <rPr>
            <sz val="9"/>
            <color indexed="81"/>
            <rFont val="Tahoma"/>
            <family val="2"/>
          </rPr>
          <t xml:space="preserve">
 In this case, you will see the full loan amount appear in the Repayment - Sub Loan #1  in the S&amp;U Summary under Permanent Uses. 
The calculation: if the Sub Loan #1 Loan Term is less than or equal to the Acq/Rehab Senior Loan Term, Sub Loan #1 Loan will repay at conversion to Perm.
</t>
        </r>
        <r>
          <rPr>
            <b/>
            <sz val="9"/>
            <color indexed="81"/>
            <rFont val="Tahoma"/>
            <family val="2"/>
          </rPr>
          <t xml:space="preserve">2) Interest-only during Acq/Rehab phase and remains outstanding in the Perm Phase. 
</t>
        </r>
        <r>
          <rPr>
            <sz val="9"/>
            <color indexed="81"/>
            <rFont val="Tahoma"/>
            <family val="2"/>
          </rPr>
          <t xml:space="preserve">
In this case, you will see $0 appear in the Repayment - Sub Loan #1 and in the Perm Funding Sources table,  will have the option to input an amortization period and DSCR covenant. WIth this information, P&amp;I payments appears in the 15 Yr Operating Pro Forma table.
If using method #2, the Sub Loan #1 can have up to an additional 3 years of Interest-Only payments.</t>
        </r>
      </text>
    </comment>
    <comment ref="B44" authorId="0" shapeId="0" xr:uid="{E999726B-E67F-4B0E-8063-5BB06F71A86D}">
      <text>
        <r>
          <rPr>
            <b/>
            <sz val="9"/>
            <color indexed="81"/>
            <rFont val="Tahoma"/>
            <family val="2"/>
          </rPr>
          <t>Alex Cabral:</t>
        </r>
        <r>
          <rPr>
            <sz val="9"/>
            <color indexed="81"/>
            <rFont val="Tahoma"/>
            <family val="2"/>
          </rPr>
          <t xml:space="preserve">
Ongoing, annual subsidy, summed through 15-yr period [depending when it starts, see Perm Funding Sources table for detail]</t>
        </r>
      </text>
    </comment>
    <comment ref="R48" authorId="0" shapeId="0" xr:uid="{00A51C21-80BD-4E6E-BF87-4F2BA8BA77DF}">
      <text>
        <r>
          <rPr>
            <b/>
            <sz val="9"/>
            <color indexed="81"/>
            <rFont val="Tahoma"/>
            <family val="2"/>
          </rPr>
          <t>Alex Cabral:</t>
        </r>
        <r>
          <rPr>
            <sz val="9"/>
            <color indexed="81"/>
            <rFont val="Tahoma"/>
            <family val="2"/>
          </rPr>
          <t xml:space="preserve">
Model only permits max 10 years Additional IO period</t>
        </r>
      </text>
    </comment>
    <comment ref="L52" authorId="0" shapeId="0" xr:uid="{3B0044CF-8726-4EF5-B0AB-A221F1E5B5B5}">
      <text>
        <r>
          <rPr>
            <b/>
            <sz val="9"/>
            <color indexed="81"/>
            <rFont val="Tahoma"/>
            <family val="2"/>
          </rPr>
          <t>Alex Cabral:</t>
        </r>
        <r>
          <rPr>
            <sz val="9"/>
            <color indexed="81"/>
            <rFont val="Tahoma"/>
            <family val="2"/>
          </rPr>
          <t xml:space="preserve">
Subordinate Loan #1 (IO-&gt;P&amp;I) has two payment options:
</t>
        </r>
        <r>
          <rPr>
            <b/>
            <sz val="9"/>
            <color indexed="81"/>
            <rFont val="Tahoma"/>
            <family val="2"/>
          </rPr>
          <t>1) Interest-only during Acq/Rehab phase and repaid alongside repayment of Acq/Rehab Senior Loan (ie at conversion to Perm).</t>
        </r>
        <r>
          <rPr>
            <sz val="9"/>
            <color indexed="81"/>
            <rFont val="Tahoma"/>
            <family val="2"/>
          </rPr>
          <t xml:space="preserve">
 In this case, you will see the full loan amount appear in the Repayment - Sub Loan #1  in the S&amp;U Summary under Permanent Uses. 
The calculation: if the Sub Loan #1 Loan Term is less than or equal to the Acq/Rehab Senior Loan Term, Sub Loan #1 Loan will repay at conversion to Perm.
</t>
        </r>
        <r>
          <rPr>
            <b/>
            <sz val="9"/>
            <color indexed="81"/>
            <rFont val="Tahoma"/>
            <family val="2"/>
          </rPr>
          <t xml:space="preserve">2) Interest-only during Acq/Rehab phase and remains outstanding in the Perm Phase. </t>
        </r>
        <r>
          <rPr>
            <sz val="9"/>
            <color indexed="81"/>
            <rFont val="Tahoma"/>
            <family val="2"/>
          </rPr>
          <t xml:space="preserve">
In this case, you will see $0 appear in the Repayment - Sub Loan #1 and in the Perm Funding Sources table,  will have the option to input an amortization period and DSCR covenant. WIth this information, P&amp;I payments appears in the 15 Yr Operating Pro Forma table.
If using method #2, the Sub Loan #1 can have up to an additional 3 years of Interest-Only payments.</t>
        </r>
      </text>
    </comment>
    <comment ref="F53" authorId="0" shapeId="0" xr:uid="{D3F010CD-A3E9-4BB3-B7D0-882EF89AA3F1}">
      <text>
        <r>
          <rPr>
            <b/>
            <sz val="9"/>
            <color indexed="81"/>
            <rFont val="Tahoma"/>
            <family val="2"/>
          </rPr>
          <t>Alex Cabral:</t>
        </r>
        <r>
          <rPr>
            <sz val="9"/>
            <color indexed="81"/>
            <rFont val="Tahoma"/>
            <family val="2"/>
          </rPr>
          <t xml:space="preserve">
It is likely that different sized units will have varying rehab costs. However for this model, you must average the rehab cost across all units</t>
        </r>
      </text>
    </comment>
    <comment ref="X55" authorId="0" shapeId="0" xr:uid="{101679AA-2B5A-4B2B-9B4C-4620E5558D2E}">
      <text>
        <r>
          <rPr>
            <b/>
            <sz val="9"/>
            <color indexed="81"/>
            <rFont val="Tahoma"/>
            <family val="2"/>
          </rPr>
          <t>Alex Cabral:</t>
        </r>
        <r>
          <rPr>
            <sz val="9"/>
            <color indexed="81"/>
            <rFont val="Tahoma"/>
            <family val="2"/>
          </rPr>
          <t xml:space="preserve">
The contribution to the Operating Reserve is calculated as
If Remaining Cash Flow is positive,
the annual contribution to Operating Reserve will be the lesser of:
1) remaining cash flow OR
2) the amount needed to meet the Operating Reserve Coverage requirement (example - if the Coverage requirement is 6 months, but the year ends with only 3 months of coverage, the amount of cash contributed to the operating reserve will be 3 months of OpEx+DSCR coverage for the following year</t>
        </r>
      </text>
    </comment>
    <comment ref="L58" authorId="0" shapeId="0" xr:uid="{AD85773E-6404-48E1-A6CC-81E2DEFBD698}">
      <text>
        <r>
          <rPr>
            <b/>
            <sz val="9"/>
            <color indexed="81"/>
            <rFont val="Tahoma"/>
            <family val="2"/>
          </rPr>
          <t>Alex Cabral:</t>
        </r>
        <r>
          <rPr>
            <sz val="9"/>
            <color indexed="81"/>
            <rFont val="Tahoma"/>
            <family val="2"/>
          </rPr>
          <t xml:space="preserve">
Loan to Cost for Senior + Sub Debt</t>
        </r>
      </text>
    </comment>
    <comment ref="R60" authorId="0" shapeId="0" xr:uid="{08A5BD3A-E182-4ECA-B7D4-A0E5794819DB}">
      <text>
        <r>
          <rPr>
            <b/>
            <sz val="9"/>
            <color indexed="81"/>
            <rFont val="Tahoma"/>
            <family val="2"/>
          </rPr>
          <t>Alex Cabral:</t>
        </r>
        <r>
          <rPr>
            <sz val="9"/>
            <color indexed="81"/>
            <rFont val="Tahoma"/>
            <family val="2"/>
          </rPr>
          <t xml:space="preserve">
Max 3 years IO period</t>
        </r>
      </text>
    </comment>
    <comment ref="X60" authorId="0" shapeId="0" xr:uid="{A79BD11D-C77F-4C6F-AA0C-37A980125822}">
      <text>
        <r>
          <rPr>
            <b/>
            <sz val="9"/>
            <color indexed="81"/>
            <rFont val="Tahoma"/>
            <family val="2"/>
          </rPr>
          <t>Alex Cabral:</t>
        </r>
        <r>
          <rPr>
            <sz val="9"/>
            <color indexed="81"/>
            <rFont val="Tahoma"/>
            <family val="2"/>
          </rPr>
          <t xml:space="preserve">
BOY Opex Reserve may or may not be the same amount as the Operating Reserve funded in the Acquisition &amp; Rehab Costs. For ex, if the developer drew on the Op Reserve during the acq+rehab period, this BOY balance will be lower than the initial Opex Reserve amount beacuse some of the funds were used during the acq+rehab period.</t>
        </r>
      </text>
    </comment>
    <comment ref="L61" authorId="0" shapeId="0" xr:uid="{FA8CBC2E-7A62-42DC-AC42-7E4DFD86810B}">
      <text>
        <r>
          <rPr>
            <b/>
            <sz val="9"/>
            <color indexed="81"/>
            <rFont val="Tahoma"/>
            <family val="2"/>
          </rPr>
          <t>Alex Cabral:</t>
        </r>
        <r>
          <rPr>
            <sz val="9"/>
            <color indexed="81"/>
            <rFont val="Tahoma"/>
            <family val="2"/>
          </rPr>
          <t xml:space="preserve">
Loan payments come due in Perm Phase (see Operating Pro Forma). Assumes 0% interest and no payments in Acq/Rehab phase.
Residual Receipt loans are subordinate in repayment to the senior acq/rehab loan, the senior perm loan, and the subordinate perm loan. Meaning, if there is limited cash flow, senior and subordinate loans will be paid P&amp;I prior to residual receipt loans 2, 3, and 4 (repayment in that order). 
Residual receipt epayment structured as:
If cash flow after debt service (senior + subordinate) is positiive,
annual payment will be the lesser of:
1) remaining cash flow x % share of cash flow to lender OR
2)</t>
        </r>
      </text>
    </comment>
    <comment ref="X62" authorId="0" shapeId="0" xr:uid="{01E468B7-67B3-447D-9A4F-092D3329D36C}">
      <text>
        <r>
          <rPr>
            <b/>
            <sz val="9"/>
            <color indexed="81"/>
            <rFont val="Tahoma"/>
            <family val="2"/>
          </rPr>
          <t>Alex Cabral:</t>
        </r>
        <r>
          <rPr>
            <sz val="9"/>
            <color indexed="81"/>
            <rFont val="Tahoma"/>
            <family val="2"/>
          </rPr>
          <t xml:space="preserve">
This line uses the same calculation as the figure in the 'Available Cash Flow for Residual Receipts' line, but does not reference that cell due to avoidance of circular references</t>
        </r>
      </text>
    </comment>
    <comment ref="X63" authorId="0" shapeId="0" xr:uid="{6ED32AD4-FE76-47F6-8893-AACDEF85D918}">
      <text>
        <r>
          <rPr>
            <b/>
            <sz val="9"/>
            <color indexed="81"/>
            <rFont val="Tahoma"/>
            <family val="2"/>
          </rPr>
          <t>Alex Cabral:</t>
        </r>
        <r>
          <rPr>
            <sz val="9"/>
            <color indexed="81"/>
            <rFont val="Tahoma"/>
            <family val="2"/>
          </rPr>
          <t xml:space="preserve">
If the user selected 'Yes' for 'Fill CF gaps w/ Op Reserve?", this line will draw down on the Operating Reserve to fill any gaps in the cash flow so that senior and subordinate debt payments remain current (excluding residual receipts due to their unique repayment structure).
If selected "No", this line will be $0 and negative cash flow will not impact the accruing Operating Reserve balance.</t>
        </r>
      </text>
    </comment>
    <comment ref="L65" authorId="0" shapeId="0" xr:uid="{EC1F70F1-027F-45B9-8BD4-37D035514081}">
      <text>
        <r>
          <rPr>
            <b/>
            <sz val="9"/>
            <color indexed="81"/>
            <rFont val="Tahoma"/>
            <family val="2"/>
          </rPr>
          <t>Alex Cabral:</t>
        </r>
        <r>
          <rPr>
            <sz val="9"/>
            <color indexed="81"/>
            <rFont val="Tahoma"/>
            <family val="2"/>
          </rPr>
          <t xml:space="preserve">
Comes into play in Perm Phase, assumed 0% in Acq/Rehab phase</t>
        </r>
      </text>
    </comment>
    <comment ref="R67" authorId="0" shapeId="0" xr:uid="{924DB682-3162-4B0D-9F66-86848282C379}">
      <text>
        <r>
          <rPr>
            <b/>
            <sz val="9"/>
            <color indexed="81"/>
            <rFont val="Tahoma"/>
            <family val="2"/>
          </rPr>
          <t>Alex Cabral:</t>
        </r>
        <r>
          <rPr>
            <sz val="9"/>
            <color indexed="81"/>
            <rFont val="Tahoma"/>
            <family val="2"/>
          </rPr>
          <t xml:space="preserve">
Added to operations as a one-time contribution</t>
        </r>
      </text>
    </comment>
    <comment ref="X68" authorId="0" shapeId="0" xr:uid="{612D7A9D-61A1-482C-BD51-3242AC15941C}">
      <text>
        <r>
          <rPr>
            <b/>
            <sz val="9"/>
            <color indexed="81"/>
            <rFont val="Tahoma"/>
            <family val="2"/>
          </rPr>
          <t>Alex Cabral:</t>
        </r>
        <r>
          <rPr>
            <sz val="9"/>
            <color indexed="81"/>
            <rFont val="Tahoma"/>
            <family val="2"/>
          </rPr>
          <t xml:space="preserve">
OpEx Reserve Annual Contribution based on the # of months of OpEx coverage needed for the following year.
Ex - The BOY OpEx Reserve balance is $50k and you plan to spend $10k this year from the OpEx Reserve account. The goal is to have XX # of months of coverage in the account at all times. To meet this goal next year, the OpEx Reserve balance needs to be $100k. Therefore, you will need to contribute $60k to the OpEx account this year ($50k - $10k + $60k = $100k).</t>
        </r>
      </text>
    </comment>
    <comment ref="L69" authorId="0" shapeId="0" xr:uid="{8A7FA692-6148-4A61-AE91-DE96A6E32D49}">
      <text>
        <r>
          <rPr>
            <b/>
            <sz val="9"/>
            <color indexed="81"/>
            <rFont val="Tahoma"/>
            <family val="2"/>
          </rPr>
          <t>Alex Cabral:</t>
        </r>
        <r>
          <rPr>
            <sz val="9"/>
            <color indexed="81"/>
            <rFont val="Tahoma"/>
            <family val="2"/>
          </rPr>
          <t xml:space="preserve">
Loan payments come due in Perm Phase (see Operating Pro Forma). Assumes 0% interest and no payments in Acq/Rehab phase.</t>
        </r>
      </text>
    </comment>
    <comment ref="R72" authorId="1" shapeId="0" xr:uid="{9A5149E6-4BA0-473E-9F0E-362721A3ABEF}">
      <text>
        <r>
          <rPr>
            <sz val="9"/>
            <color indexed="81"/>
            <rFont val="Tahoma"/>
            <family val="2"/>
          </rPr>
          <t xml:space="preserve">Added to operations as an ongoing contribution
</t>
        </r>
      </text>
    </comment>
    <comment ref="F73" authorId="0" shapeId="0" xr:uid="{818074E5-B6E9-4D7B-B8A2-6E4B6CAE2D59}">
      <text>
        <r>
          <rPr>
            <b/>
            <sz val="9"/>
            <color indexed="81"/>
            <rFont val="Tahoma"/>
            <family val="2"/>
          </rPr>
          <t>Alex Cabral:</t>
        </r>
        <r>
          <rPr>
            <sz val="9"/>
            <color indexed="81"/>
            <rFont val="Tahoma"/>
            <family val="2"/>
          </rPr>
          <t xml:space="preserve">
cell used as reference for input in cell I10 to avoid circular reference
*Estimate likely over-estimated beacuse it assumes immediate full draw on Acq/Rehab loan (vs drawdown over the course of rehab period)
Calculation:
Aqu/Rehab Senior Loan Interest for all years + Aqu/Rehab Senior Loan Lender Fee + 
Sub Loan #1 Interest for same term as Senior Loan (assumes IO period during Acq/Rehab phase) +
Sub Loan #1 Lender Fee + 
Sub Loan #2 Lender Fee + 
Sub Loan #3 Lender Fee + 
Sub Loan #4 Lender Fee + 
Perm Senior Loan Lender Fee + 
Sub Loan #5 (Perm Only) Lender Fee </t>
        </r>
      </text>
    </comment>
    <comment ref="L73" authorId="0" shapeId="0" xr:uid="{E950D53A-F399-44A7-B7E8-F28379EE292B}">
      <text>
        <r>
          <rPr>
            <b/>
            <sz val="9"/>
            <color indexed="81"/>
            <rFont val="Tahoma"/>
            <family val="2"/>
          </rPr>
          <t>Alex Cabral:</t>
        </r>
        <r>
          <rPr>
            <sz val="9"/>
            <color indexed="81"/>
            <rFont val="Tahoma"/>
            <family val="2"/>
          </rPr>
          <t xml:space="preserve">
Comes into play in Perm Phase, assumed 0% in Acq/Rehab phase</t>
        </r>
      </text>
    </comment>
    <comment ref="G75" authorId="0" shapeId="0" xr:uid="{EC4C0B31-F867-4338-B3EE-1ABB9A966979}">
      <text>
        <r>
          <rPr>
            <b/>
            <sz val="9"/>
            <color indexed="81"/>
            <rFont val="Tahoma"/>
            <family val="2"/>
          </rPr>
          <t>Alex Cabral:</t>
        </r>
        <r>
          <rPr>
            <sz val="9"/>
            <color indexed="81"/>
            <rFont val="Tahoma"/>
            <family val="2"/>
          </rPr>
          <t xml:space="preserve">
This Replacement Reserve in the Acq/Rehab budget provides coverage for building maintenance and repairs for xx months through the Acq/Rehab Loan period. 
For the Perm/Stabilized Phase, the annual Expenses in the Operating Pro Forma include an annual controbution to the Replacement Reserve, with a running balance at the bottom of the Pro Forma.
Calculation:
# of months/12 (ex - 6 months = 0.5 = 1/2 the year)
x
Replacement Reserve per unit per year
x
# of units
</t>
        </r>
      </text>
    </comment>
    <comment ref="G76" authorId="0" shapeId="0" xr:uid="{77D76BD9-6B24-41A1-AFF6-668C54C7B795}">
      <text>
        <r>
          <rPr>
            <b/>
            <sz val="9"/>
            <color indexed="81"/>
            <rFont val="Tahoma"/>
            <family val="2"/>
          </rPr>
          <t>Alex Cabral:</t>
        </r>
        <r>
          <rPr>
            <sz val="9"/>
            <color indexed="81"/>
            <rFont val="Tahoma"/>
            <family val="2"/>
          </rPr>
          <t xml:space="preserve">
This Operating Reserve in the Acq/Rehab budget provides coverage for building operating expenses and debt service (in this case, interest payments) for xx months during the Acq/Rehab Loan period. 
For the Perm/Stabilized Phase, the annual Expenses in the Operating Pro Forma include an annual controbution to the Operating Reserve, with a running balance at the bottom of the Pro Forma.
This number is an estimate because calculation uses TDC but could not include the Operating Reserve or Replacement Reserve to avoid circular references. 
Calculation:
# of months/12 (ex - 6 months = 0.5 = 1/2 the year)
x
Total Acq/Rehab Cost*LTV*Interset Rate = Senior Loan Interest (had to do it this way beacuse could not use TDC because circular reference)
x
Subordinate Loan #1 Interest * Subordinate Loan Amount
x 
Building operating expenses</t>
        </r>
      </text>
    </comment>
    <comment ref="L77" authorId="0" shapeId="0" xr:uid="{155A3D31-0172-442A-A009-91F3AF97157E}">
      <text>
        <r>
          <rPr>
            <b/>
            <sz val="9"/>
            <color indexed="81"/>
            <rFont val="Tahoma"/>
            <family val="2"/>
          </rPr>
          <t>Alex Cabral:</t>
        </r>
        <r>
          <rPr>
            <sz val="9"/>
            <color indexed="81"/>
            <rFont val="Tahoma"/>
            <family val="2"/>
          </rPr>
          <t xml:space="preserve">
Loan payments come due in Perm Phase (see Operating Pro Forma). Assumes 0% interest and no payments in Acq/Rehab phase.</t>
        </r>
      </text>
    </comment>
    <comment ref="E81" authorId="1" shapeId="0" xr:uid="{00D2BFE0-57DF-481C-9E8E-D7D7508ADB0B}">
      <text>
        <r>
          <rPr>
            <b/>
            <sz val="9"/>
            <color indexed="81"/>
            <rFont val="Tahoma"/>
            <family val="2"/>
          </rPr>
          <t xml:space="preserve">Developer Fees </t>
        </r>
        <r>
          <rPr>
            <sz val="9"/>
            <color indexed="81"/>
            <rFont val="Tahoma"/>
            <family val="2"/>
          </rPr>
          <t xml:space="preserve">are a critical funding source to sustain the operations of housing providers, and local subsidy programs have options for how those fees can be structured into deals. A "Flat Fee" structure means the Developer Fee is determined as a percentage of hard costs. Alternatively, a program may set a minimum "Base Fee" with additional fees allowed for every rehabbed unit. </t>
        </r>
      </text>
    </comment>
    <comment ref="L81" authorId="0" shapeId="0" xr:uid="{3E2AB95E-9230-486B-87E3-2165152F5BDD}">
      <text>
        <r>
          <rPr>
            <b/>
            <sz val="9"/>
            <color indexed="81"/>
            <rFont val="Tahoma"/>
            <family val="2"/>
          </rPr>
          <t>Alex Cabral:</t>
        </r>
        <r>
          <rPr>
            <sz val="9"/>
            <color indexed="81"/>
            <rFont val="Tahoma"/>
            <family val="2"/>
          </rPr>
          <t xml:space="preserve">
Comes into play in Perm Phase, assumed 0% in Acq/Rehab phase</t>
        </r>
      </text>
    </comment>
    <comment ref="F83" authorId="0" shapeId="0" xr:uid="{7D2793E7-2217-4F40-A8E0-4D9BB6F133E1}">
      <text>
        <r>
          <rPr>
            <sz val="9"/>
            <color indexed="81"/>
            <rFont val="Tahoma"/>
            <family val="2"/>
          </rPr>
          <t>Based on OpEx and debt service at occupancy.
Included here to avoid circular reference</t>
        </r>
      </text>
    </comment>
    <comment ref="L85" authorId="0" shapeId="0" xr:uid="{94317F8A-8D1E-46B7-82F5-BA1D23F1BCBD}">
      <text>
        <r>
          <rPr>
            <b/>
            <sz val="9"/>
            <color indexed="81"/>
            <rFont val="Tahoma"/>
            <family val="2"/>
          </rPr>
          <t>Alex Cabral:</t>
        </r>
        <r>
          <rPr>
            <sz val="9"/>
            <color indexed="81"/>
            <rFont val="Tahoma"/>
            <family val="2"/>
          </rPr>
          <t xml:space="preserve">
Loan to Cost for Senior + Sub Debt</t>
        </r>
      </text>
    </comment>
    <comment ref="L88" authorId="2" shapeId="0" xr:uid="{7E6E12E6-8571-4265-8383-AC351FEDAB6A}">
      <text>
        <t>[Threaded comment]
Your version of Excel allows you to read this threaded comment; however, any edits to it will get removed if the file is opened in a newer version of Excel. Learn more: https://go.microsoft.com/fwlink/?linkid=870924
Comment:
    Double check to make sure this is calculated the same as historic tax credits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Alex Cabral</author>
    <author>James Yelen</author>
    <author>tc={EAD456BA-326E-45E0-A40F-1E613ED6CB03}</author>
  </authors>
  <commentList>
    <comment ref="T3" authorId="0" shapeId="0" xr:uid="{041009F8-E6DE-4456-9A17-1E2786A20F71}">
      <text>
        <r>
          <rPr>
            <b/>
            <sz val="9"/>
            <color indexed="81"/>
            <rFont val="Tahoma"/>
            <family val="2"/>
          </rPr>
          <t>Alex Cabral:</t>
        </r>
        <r>
          <rPr>
            <sz val="9"/>
            <color indexed="81"/>
            <rFont val="Tahoma"/>
            <family val="2"/>
          </rPr>
          <t xml:space="preserve">
This Operating Pro Forma does not represent operations during the Acq/Rehab phase, where there may be vacant units, remodelding, utility shutoffs, tenant relocation, and other costs and impacts to income.</t>
        </r>
      </text>
    </comment>
    <comment ref="X3" authorId="0" shapeId="0" xr:uid="{EB6C12E3-FC11-4EA2-B673-56035A2C9AB4}">
      <text>
        <r>
          <rPr>
            <b/>
            <sz val="9"/>
            <color indexed="81"/>
            <rFont val="Tahoma"/>
            <family val="2"/>
          </rPr>
          <t>Alex Cabral:</t>
        </r>
        <r>
          <rPr>
            <sz val="9"/>
            <color indexed="81"/>
            <rFont val="Tahoma"/>
            <family val="2"/>
          </rPr>
          <t xml:space="preserve">
This Operating Pro Forma does not represent operations during the Acq/Rehab phase, where there may be vacant units, remodelding, utility shutoffs, tenant relocation, and other costs and impacts to income.</t>
        </r>
      </text>
    </comment>
    <comment ref="Y4" authorId="0" shapeId="0" xr:uid="{FB01DB22-06AC-4146-92D9-3DE4EEA1B0CC}">
      <text>
        <r>
          <rPr>
            <b/>
            <sz val="9"/>
            <color indexed="81"/>
            <rFont val="Tahoma"/>
            <family val="2"/>
          </rPr>
          <t>Alex Cabral:</t>
        </r>
        <r>
          <rPr>
            <sz val="9"/>
            <color indexed="81"/>
            <rFont val="Tahoma"/>
            <family val="2"/>
          </rPr>
          <t xml:space="preserve">
Year 0 represents the Acq/Rehab period, which typically lasts anywhere from 6 months to a few years.
Operations are not calculated for this period and will need to be calculated in a separate model or built into this model.
This is because assumptions vary widely between projects, including tenant relocation, partial rents, varying utility costs, etc. Operations have been left out for simplicity's sake.
Year 1 represents the first stabilized year of operations.
</t>
        </r>
      </text>
    </comment>
    <comment ref="Z4" authorId="0" shapeId="0" xr:uid="{508087C1-AEA3-48FA-BB13-79835F135B49}">
      <text>
        <r>
          <rPr>
            <b/>
            <sz val="9"/>
            <color indexed="81"/>
            <rFont val="Tahoma"/>
            <family val="2"/>
          </rPr>
          <t>Alex Cabral:</t>
        </r>
        <r>
          <rPr>
            <sz val="9"/>
            <color indexed="81"/>
            <rFont val="Tahoma"/>
            <family val="2"/>
          </rPr>
          <t xml:space="preserve">
'Year 1' represents the start of the Perm phase. This Operating Pro Forma does not represent operations during the Acq/Rehab phase, where there may be vacant units, remodelding, utility shutoffs, tenant relocation, and other costs and impacts to income.</t>
        </r>
      </text>
    </comment>
    <comment ref="O7" authorId="0" shapeId="0" xr:uid="{860971E3-3BD0-45D3-993D-A058FA7CA059}">
      <text>
        <r>
          <rPr>
            <b/>
            <sz val="9"/>
            <color indexed="81"/>
            <rFont val="Tahoma"/>
            <family val="2"/>
          </rPr>
          <t>Alex Cabral:</t>
        </r>
        <r>
          <rPr>
            <sz val="9"/>
            <color indexed="81"/>
            <rFont val="Tahoma"/>
            <family val="2"/>
          </rPr>
          <t xml:space="preserve">
Carrying Charged based on homeownerhip AMI limits, not rental limits. This model assumes that the property is acquired and immediately converted to a coop - there are no rental figures in this LEHC model.
This is the initial Carrying Charge, which the Operating Pro Forma allows you to increase by x% annually
</t>
        </r>
      </text>
    </comment>
    <comment ref="T11" authorId="0" shapeId="0" xr:uid="{D70A3B0E-7EAC-47C1-A78A-C0C5CDFAAE16}">
      <text>
        <r>
          <rPr>
            <b/>
            <sz val="9"/>
            <color indexed="81"/>
            <rFont val="Tahoma"/>
            <family val="2"/>
          </rPr>
          <t>Alex Cabral:</t>
        </r>
        <r>
          <rPr>
            <sz val="9"/>
            <color indexed="81"/>
            <rFont val="Tahoma"/>
            <family val="2"/>
          </rPr>
          <t xml:space="preserve">
'Year 1' represents the start of the Perm phase. This Operating Pro Forma does not represent operations during the Acq/Rehab phase, where there may be vacant units, remodelding, utility shutoffs, tenant relocation, and other costs and impacts to income.</t>
        </r>
      </text>
    </comment>
    <comment ref="Q13" authorId="1" shapeId="0" xr:uid="{4A094491-1B8E-4A2B-9070-727D09E9E5C9}">
      <text>
        <r>
          <rPr>
            <sz val="9"/>
            <color indexed="81"/>
            <rFont val="Tahoma"/>
            <family val="2"/>
          </rPr>
          <t xml:space="preserve">Restricted units only 
</t>
        </r>
      </text>
    </comment>
    <comment ref="Q14" authorId="1" shapeId="0" xr:uid="{5DC63716-9275-425F-8426-14196603DC58}">
      <text>
        <r>
          <rPr>
            <sz val="9"/>
            <color indexed="81"/>
            <rFont val="Tahoma"/>
            <family val="2"/>
          </rPr>
          <t>For determining pro rata application of Welfare Tax Exemption</t>
        </r>
      </text>
    </comment>
    <comment ref="T14" authorId="0" shapeId="0" xr:uid="{E3878A89-69A5-44BF-87F7-E8748FB9346A}">
      <text>
        <r>
          <rPr>
            <b/>
            <sz val="9"/>
            <color indexed="81"/>
            <rFont val="Tahoma"/>
            <family val="2"/>
          </rPr>
          <t>Alex Cabral:</t>
        </r>
        <r>
          <rPr>
            <sz val="9"/>
            <color indexed="81"/>
            <rFont val="Tahoma"/>
            <family val="2"/>
          </rPr>
          <t xml:space="preserve">
WTE: Welfare Tax Exemption</t>
        </r>
      </text>
    </comment>
    <comment ref="T15" authorId="0" shapeId="0" xr:uid="{AE043CAD-0888-419B-97FB-21E509611F0A}">
      <text>
        <r>
          <rPr>
            <b/>
            <sz val="9"/>
            <color indexed="81"/>
            <rFont val="Tahoma"/>
            <family val="2"/>
          </rPr>
          <t>Alex Cabral:</t>
        </r>
        <r>
          <rPr>
            <sz val="9"/>
            <color indexed="81"/>
            <rFont val="Tahoma"/>
            <family val="2"/>
          </rPr>
          <t xml:space="preserve">
WTE: Welfare Tax Exemption</t>
        </r>
      </text>
    </comment>
    <comment ref="B23" authorId="0" shapeId="0" xr:uid="{0765E226-B5DD-4768-89D8-5253681DDAD0}">
      <text>
        <r>
          <rPr>
            <b/>
            <sz val="9"/>
            <color indexed="81"/>
            <rFont val="Tahoma"/>
            <family val="2"/>
          </rPr>
          <t>Alex Cabral:</t>
        </r>
        <r>
          <rPr>
            <sz val="9"/>
            <color indexed="81"/>
            <rFont val="Tahoma"/>
            <family val="2"/>
          </rPr>
          <t xml:space="preserve">
Subordinate Loan #1 (IO-&gt;P&amp;I) has two payment options:
</t>
        </r>
        <r>
          <rPr>
            <b/>
            <sz val="9"/>
            <color indexed="81"/>
            <rFont val="Tahoma"/>
            <family val="2"/>
          </rPr>
          <t>1) Interest-only during Acq/Rehab phase and repaid alongside repayment of Acq/Rehab Senior Loan (ie at conversion to Perm).</t>
        </r>
        <r>
          <rPr>
            <sz val="9"/>
            <color indexed="81"/>
            <rFont val="Tahoma"/>
            <family val="2"/>
          </rPr>
          <t xml:space="preserve">
 In this case, you will see the full loan amount appear in the Repayment - Sub Loan #1  in the S&amp;U Summary under Permanent Uses. 
The calculation: if the Sub Loan #1 Loan Term is less than or equal to the Acq/Rehab Senior Loan Term, Sub Loan #1 Loan will repay at conversion to Perm.
</t>
        </r>
        <r>
          <rPr>
            <b/>
            <sz val="9"/>
            <color indexed="81"/>
            <rFont val="Tahoma"/>
            <family val="2"/>
          </rPr>
          <t xml:space="preserve">2) Interest-only during Acq/Rehab phase and remains outstanding in the Perm Phase. </t>
        </r>
        <r>
          <rPr>
            <sz val="9"/>
            <color indexed="81"/>
            <rFont val="Tahoma"/>
            <family val="2"/>
          </rPr>
          <t xml:space="preserve">
In this case, you will see $0 appear in the Repayment - Sub Loan #1 and in the Perm Funding Sources table,  will have the option to input an amortization period and DSCR covenant. WIth this information, P&amp;I payments appears in the 15 Yr Operating Pro Forma table.
If using method #2, the Sub Loan #1 can have up to an additional 3 years of Interest-Only payments.</t>
        </r>
      </text>
    </comment>
    <comment ref="R30" authorId="0" shapeId="0" xr:uid="{E1612D32-899D-4F1E-8A7A-C796CF146D7D}">
      <text>
        <r>
          <rPr>
            <b/>
            <sz val="9"/>
            <color indexed="81"/>
            <rFont val="Tahoma"/>
            <family val="2"/>
          </rPr>
          <t>Alex Cabral:</t>
        </r>
        <r>
          <rPr>
            <sz val="9"/>
            <color indexed="81"/>
            <rFont val="Tahoma"/>
            <family val="2"/>
          </rPr>
          <t xml:space="preserve">
The $ Amount of the Perm Senior Loan is sized to be the lesser of 
i) Max  LTV % (based on the total appraised market value of all units x the LTV % input into the Perm Funding Soruces table ) OR
 ii) Max DSCR (based on Year 1  Net Operting Income and the DSCR covenant  input into the Perm Funding Soruces table)
More often than not, the DSCR-sized amount is the lower loan amount, and the loan will be sized to meet DSCR requirements.</t>
        </r>
      </text>
    </comment>
    <comment ref="W31" authorId="0" shapeId="0" xr:uid="{600B6799-4D34-469B-AF3B-13965B7D7584}">
      <text>
        <r>
          <rPr>
            <b/>
            <sz val="9"/>
            <color indexed="81"/>
            <rFont val="Tahoma"/>
            <family val="2"/>
          </rPr>
          <t>Alex Cabral:</t>
        </r>
        <r>
          <rPr>
            <sz val="9"/>
            <color indexed="81"/>
            <rFont val="Tahoma"/>
            <family val="2"/>
          </rPr>
          <t xml:space="preserve">
This cell is asking if you want to allow the borrower to use funds in its Operating Reserve to fill any gaps in cash flow, thereby keeping the senior and subordinate debt payments current (excluding residual receipts due to their unique repayment structure).</t>
        </r>
      </text>
    </comment>
    <comment ref="B35" authorId="0" shapeId="0" xr:uid="{701EB228-F78E-424D-A070-3DD7133872A7}">
      <text>
        <r>
          <rPr>
            <b/>
            <sz val="9"/>
            <color indexed="81"/>
            <rFont val="Tahoma"/>
            <family val="2"/>
          </rPr>
          <t>Alex Cabral:</t>
        </r>
        <r>
          <rPr>
            <sz val="9"/>
            <color indexed="81"/>
            <rFont val="Tahoma"/>
            <family val="2"/>
          </rPr>
          <t xml:space="preserve">
Subordinate Loan #1 (IO-&gt;P&amp;I) has two payment options:
</t>
        </r>
        <r>
          <rPr>
            <b/>
            <sz val="9"/>
            <color indexed="81"/>
            <rFont val="Tahoma"/>
            <family val="2"/>
          </rPr>
          <t>1) Interest-only during Acq/Rehab phase and repaid alongside repayment of Acq/Rehab Senior Loan (ie at conversion to Perm).</t>
        </r>
        <r>
          <rPr>
            <sz val="9"/>
            <color indexed="81"/>
            <rFont val="Tahoma"/>
            <family val="2"/>
          </rPr>
          <t xml:space="preserve">
 In this case, you will see the full loan amount appear in the Repayment - Sub Loan #1  in the S&amp;U Summary under Permanent Uses. 
The calculation: if the Sub Loan #1 Loan Term is less than or equal to the Acq/Rehab Senior Loan Term, Sub Loan #1 Loan will repay at conversion to Perm.
</t>
        </r>
        <r>
          <rPr>
            <b/>
            <sz val="9"/>
            <color indexed="81"/>
            <rFont val="Tahoma"/>
            <family val="2"/>
          </rPr>
          <t xml:space="preserve">
2) Interest-only during Acq/Rehab phase and remains outstanding in the Perm Phase. </t>
        </r>
        <r>
          <rPr>
            <sz val="9"/>
            <color indexed="81"/>
            <rFont val="Tahoma"/>
            <family val="2"/>
          </rPr>
          <t xml:space="preserve">
In this case, you will see $0 appear in the Repayment - Sub Loan #1 and in the Perm Funding Sources table,  will have the option to input an amortization period and DSCR covenant. WIth this information, P&amp;I payments appears in the 15 Yr Operating Pro Forma table.
If using method #2, the Sub Loan #1 can have up to an additional 3 years of Interest-Only payments.</t>
        </r>
      </text>
    </comment>
    <comment ref="R35" authorId="0" shapeId="0" xr:uid="{FC0EC24C-A6CF-4BA0-B371-4F891D583E0C}">
      <text>
        <r>
          <rPr>
            <b/>
            <sz val="9"/>
            <color indexed="81"/>
            <rFont val="Tahoma"/>
            <family val="2"/>
          </rPr>
          <t>Alex Cabral:</t>
        </r>
        <r>
          <rPr>
            <sz val="9"/>
            <color indexed="81"/>
            <rFont val="Tahoma"/>
            <family val="2"/>
          </rPr>
          <t xml:space="preserve">
Max 10 years IO period</t>
        </r>
      </text>
    </comment>
    <comment ref="B39" authorId="0" shapeId="0" xr:uid="{93825B1C-96C9-4C04-9216-5F48541A6E86}">
      <text>
        <r>
          <rPr>
            <b/>
            <sz val="9"/>
            <color indexed="81"/>
            <rFont val="Tahoma"/>
            <family val="2"/>
          </rPr>
          <t>Alex Cabral:</t>
        </r>
        <r>
          <rPr>
            <sz val="9"/>
            <color indexed="81"/>
            <rFont val="Tahoma"/>
            <family val="2"/>
          </rPr>
          <t xml:space="preserve">
The $ Amount of the Perm Senior Loan is sized to be the lesser of 
i) Max  LTV % (based on the total appraised market value of all units x the LTV % input into the Perm Funding Soruces table ) OR
 ii) Max DSCR (based on Year 1  Net Operting Income and the DSCR covenant  input into the Perm Funding Soruces table)
More often than not, the DSCR-sized amount is the lower loan amount, and the loan will be sized to meet DSCR requirements.</t>
        </r>
      </text>
    </comment>
    <comment ref="B43" authorId="0" shapeId="0" xr:uid="{259FB95B-D525-4B42-A20F-6DE2EF6F3C03}">
      <text>
        <r>
          <rPr>
            <b/>
            <sz val="9"/>
            <color indexed="81"/>
            <rFont val="Tahoma"/>
            <family val="2"/>
          </rPr>
          <t>Alex Cabral:</t>
        </r>
        <r>
          <rPr>
            <sz val="9"/>
            <color indexed="81"/>
            <rFont val="Tahoma"/>
            <family val="2"/>
          </rPr>
          <t xml:space="preserve">
Due to their cooperative structure, LEHCs are owned by their members (resident-owners). In order to establish ownership, coop members purchase shares in the cooperative entity.
LEHC share prices can range from $1,000 to $50,000+ per member. Share prices are based on i) the members' financial ability to purchase the shares and ii) the wealth-building goals of the coop.
If a share price is of significant value, a coop member will likely need to seek a share loan to purchase their share over time. 
There are benefits to pricing share loans at a higher value, including i) member wealth-building opportunity since the share increases in value over time and can generate a return on investment when sold and ii) reduction in the $ amount of the Perm Senior Blanket Loan the coop must take on (more on this below).
However, there are also barriers that come with a higher share price, including i) reduced affordability since not all AMI levels will qualify for a share loan or be able to afford one and ii) share loans are a rare consumer loan product that are challenging to find in many markets.
On reducing the debt - Share loans can reduce the amount of debt on the property beacuse shares are purchased with cash or with a consumer loan, thereby acting as 'equity' in the property. Share loans are not included in the LTV calculation for debt held by the property, as the property does not serve as collateral for the share loans. Another way to reduce debt and make units more affordable is to put more subsidy/grants into the project.
</t>
        </r>
        <r>
          <rPr>
            <b/>
            <sz val="9"/>
            <color indexed="81"/>
            <rFont val="Tahoma"/>
            <family val="2"/>
          </rPr>
          <t xml:space="preserve">
Before pricing Member Shares, refer to the Affordability Calculator table to determine whether the coop members have sufficient income to service a share loan of that size. </t>
        </r>
        <r>
          <rPr>
            <sz val="9"/>
            <color indexed="81"/>
            <rFont val="Tahoma"/>
            <family val="2"/>
          </rPr>
          <t xml:space="preserve">
Additional modeling is strongly encouraged if share loans are being considered. This model does not take into account the complexity of balancing individual member incomes with the coop-wide income required to cover all expenses and debt service.</t>
        </r>
      </text>
    </comment>
    <comment ref="S43" authorId="0" shapeId="0" xr:uid="{0FC71A1C-8FBC-4A21-A112-516A840AA9DD}">
      <text>
        <r>
          <rPr>
            <b/>
            <sz val="9"/>
            <color indexed="81"/>
            <rFont val="Tahoma"/>
            <family val="2"/>
          </rPr>
          <t>Alex Cabral:</t>
        </r>
        <r>
          <rPr>
            <sz val="9"/>
            <color indexed="81"/>
            <rFont val="Tahoma"/>
            <family val="2"/>
          </rPr>
          <t xml:space="preserve">
Based on Net Operating Income. The Year moves based on the Interest Only Period. 
For example, if IO period is 2 years, DSCT-based loan amount will be based on NOI of Year 3</t>
        </r>
      </text>
    </comment>
    <comment ref="R47" authorId="0" shapeId="0" xr:uid="{04EB11C5-6143-415F-9A18-803C71B7CE22}">
      <text>
        <r>
          <rPr>
            <b/>
            <sz val="9"/>
            <color indexed="81"/>
            <rFont val="Tahoma"/>
            <family val="2"/>
          </rPr>
          <t>Alex Cabral:</t>
        </r>
        <r>
          <rPr>
            <sz val="9"/>
            <color indexed="81"/>
            <rFont val="Tahoma"/>
            <family val="2"/>
          </rPr>
          <t xml:space="preserve">
Subordinate Loan #1 (IO-&gt;P&amp;I) has two payment options:
</t>
        </r>
        <r>
          <rPr>
            <b/>
            <sz val="9"/>
            <color indexed="81"/>
            <rFont val="Tahoma"/>
            <family val="2"/>
          </rPr>
          <t>1) Interest-only during Acq/Rehab phase and repaid alongside repayment of Acq/Rehab Senior Loan (ie at conversion to Perm).</t>
        </r>
        <r>
          <rPr>
            <sz val="9"/>
            <color indexed="81"/>
            <rFont val="Tahoma"/>
            <family val="2"/>
          </rPr>
          <t xml:space="preserve">
 In this case, you will see the full loan amount appear in the Repayment - Sub Loan #1  in the S&amp;U Summary under Permanent Uses. 
The calculation: if the Sub Loan #1 Loan Term is less than or equal to the Acq/Rehab Senior Loan Term, Sub Loan #1 Loan will repay at conversion to Perm.
</t>
        </r>
        <r>
          <rPr>
            <b/>
            <sz val="9"/>
            <color indexed="81"/>
            <rFont val="Tahoma"/>
            <family val="2"/>
          </rPr>
          <t xml:space="preserve">2) Interest-only during Acq/Rehab phase and remains outstanding in the Perm Phase. </t>
        </r>
        <r>
          <rPr>
            <sz val="9"/>
            <color indexed="81"/>
            <rFont val="Tahoma"/>
            <family val="2"/>
          </rPr>
          <t xml:space="preserve">
In this case, you will see $0 appear in the Repayment - Sub Loan #1 and in the Perm Funding Sources table,  will have the option to input an amortization period and DSCR covenant. WIth this information, P&amp;I payments appears in the 15 Yr Operating Pro Forma table.
If using method #2, the Sub Loan #1 can have up to an additional 3 years of Interest-Only payments.</t>
        </r>
      </text>
    </comment>
    <comment ref="X50" authorId="0" shapeId="0" xr:uid="{26B844BC-DB6F-48F7-8B21-17652EEA1BC1}">
      <text>
        <r>
          <rPr>
            <b/>
            <sz val="9"/>
            <color indexed="81"/>
            <rFont val="Tahoma"/>
            <family val="2"/>
          </rPr>
          <t>Alex Cabral:</t>
        </r>
        <r>
          <rPr>
            <sz val="9"/>
            <color indexed="81"/>
            <rFont val="Tahoma"/>
            <family val="2"/>
          </rPr>
          <t xml:space="preserve">
The contribution to the Operating Reserve is calculated as
If Remaining Cash Flow is positive,
the annual contribution to Operating Reserve will be the lesser of:
1) remaining cash flow OR
2) the amount needed to meet the Operating Reserve Coverage requirement (example - if the Coverage requirement is 6 months, but the year ends with only 3 months of coverage, the amount of cash contributed to the operating reserve will be 3 months of OpEx+DSCR coverage for the following year</t>
        </r>
      </text>
    </comment>
    <comment ref="R52" authorId="0" shapeId="0" xr:uid="{F612D29A-C91D-4177-A3F8-892F11921A0E}">
      <text>
        <r>
          <rPr>
            <b/>
            <sz val="9"/>
            <color indexed="81"/>
            <rFont val="Tahoma"/>
            <family val="2"/>
          </rPr>
          <t>Alex Cabral:</t>
        </r>
        <r>
          <rPr>
            <sz val="9"/>
            <color indexed="81"/>
            <rFont val="Tahoma"/>
            <family val="2"/>
          </rPr>
          <t xml:space="preserve">
Pro Forma table only permits up to 3 additional years of IO</t>
        </r>
      </text>
    </comment>
    <comment ref="F56" authorId="0" shapeId="0" xr:uid="{3F9E1BBB-0BE2-4850-BB93-B99880D509A5}">
      <text>
        <r>
          <rPr>
            <b/>
            <sz val="9"/>
            <color indexed="81"/>
            <rFont val="Tahoma"/>
            <family val="2"/>
          </rPr>
          <t>Alex Cabral:</t>
        </r>
        <r>
          <rPr>
            <sz val="9"/>
            <color indexed="81"/>
            <rFont val="Tahoma"/>
            <family val="2"/>
          </rPr>
          <t xml:space="preserve">
It is likely that different sized units will have varying rehab costs. However for this model, you must average the rehab cost across all units</t>
        </r>
      </text>
    </comment>
    <comment ref="X56" authorId="0" shapeId="0" xr:uid="{FDFBC20D-1BD4-495E-831E-189B2B6D8D86}">
      <text>
        <r>
          <rPr>
            <b/>
            <sz val="9"/>
            <color indexed="81"/>
            <rFont val="Tahoma"/>
            <family val="2"/>
          </rPr>
          <t>Alex Cabral:</t>
        </r>
        <r>
          <rPr>
            <sz val="9"/>
            <color indexed="81"/>
            <rFont val="Tahoma"/>
            <family val="2"/>
          </rPr>
          <t xml:space="preserve">
BOY Opex Reserve may or may not be the same amount as the Operating Reserve funded in the Acquisition &amp; Rehab Costs. For ex, if the developer drew on the Op Reserve during the acq+rehab period, this BOY balance will be lower than the initial Opex Reserve amount beacuse some of the funds were used during the acq+rehab period.</t>
        </r>
      </text>
    </comment>
    <comment ref="L58" authorId="0" shapeId="0" xr:uid="{B6C12501-8CBD-4E84-8664-C8E6B5C95EB9}">
      <text>
        <r>
          <rPr>
            <b/>
            <sz val="9"/>
            <color indexed="81"/>
            <rFont val="Tahoma"/>
            <family val="2"/>
          </rPr>
          <t>Alex Cabral:</t>
        </r>
        <r>
          <rPr>
            <sz val="9"/>
            <color indexed="81"/>
            <rFont val="Tahoma"/>
            <family val="2"/>
          </rPr>
          <t xml:space="preserve">
Subordinate Loan #1 (IO-&gt;P&amp;I) has two payment options:
</t>
        </r>
        <r>
          <rPr>
            <b/>
            <sz val="9"/>
            <color indexed="81"/>
            <rFont val="Tahoma"/>
            <family val="2"/>
          </rPr>
          <t>1) Interest-only during Acq/Rehab phase and repaid alongside repayment of Acq/Rehab Senior Loan (ie at conversion to Perm).</t>
        </r>
        <r>
          <rPr>
            <sz val="9"/>
            <color indexed="81"/>
            <rFont val="Tahoma"/>
            <family val="2"/>
          </rPr>
          <t xml:space="preserve">
 In this case, you will see the full loan amount appear in the Repayment - Sub Loan #1  in the S&amp;U Summary under Permanent Uses. 
The calculation: if the Sub Loan #1 Loan Term is less than or equal to the Acq/Rehab Senior Loan Term, Sub Loan #1 Loan will repay at conversion to Perm.
</t>
        </r>
        <r>
          <rPr>
            <b/>
            <sz val="9"/>
            <color indexed="81"/>
            <rFont val="Tahoma"/>
            <family val="2"/>
          </rPr>
          <t>2) Interest-only during Acq/Rehab phase and remains outstanding in the Perm Phase.</t>
        </r>
        <r>
          <rPr>
            <sz val="9"/>
            <color indexed="81"/>
            <rFont val="Tahoma"/>
            <family val="2"/>
          </rPr>
          <t xml:space="preserve"> 
In this case, you will see $0 appear in the Repayment - Sub Loan #1 and in the Perm Funding Sources table,  will have the option to input an amortization period and DSCR covenant. WIth this information, P&amp;I payments appears in the 15 Yr Operating Pro Forma table.
If using method #2, the Sub Loan #1 can have up to an additional 3 years of Interest-Only payments.</t>
        </r>
      </text>
    </comment>
    <comment ref="X58" authorId="0" shapeId="0" xr:uid="{C43821BC-BA7B-447F-AEE9-3D0FF583DBBF}">
      <text>
        <r>
          <rPr>
            <b/>
            <sz val="9"/>
            <color indexed="81"/>
            <rFont val="Tahoma"/>
            <family val="2"/>
          </rPr>
          <t>Alex Cabral:</t>
        </r>
        <r>
          <rPr>
            <sz val="9"/>
            <color indexed="81"/>
            <rFont val="Tahoma"/>
            <family val="2"/>
          </rPr>
          <t xml:space="preserve">
This line uses the same calculation as the figure in the 'Available Cash Flow for Residual Receipts' line, but does not reference that cell due to avoidance of circular references</t>
        </r>
      </text>
    </comment>
    <comment ref="X59" authorId="0" shapeId="0" xr:uid="{D4905BF3-28F6-43F2-94A4-C8D1DDEED311}">
      <text>
        <r>
          <rPr>
            <b/>
            <sz val="9"/>
            <color indexed="81"/>
            <rFont val="Tahoma"/>
            <family val="2"/>
          </rPr>
          <t>Alex Cabral:</t>
        </r>
        <r>
          <rPr>
            <sz val="9"/>
            <color indexed="81"/>
            <rFont val="Tahoma"/>
            <family val="2"/>
          </rPr>
          <t xml:space="preserve">
If the user selected 'Yes' for 'Fill CF gaps w/ Op Reserve?", this line will draw down on the Operating Reserve to fill any gaps in the cash flow so that senior and subordinate debt payments remain current (excluding residual receipts due to their unique repayment structure).
If selected "No", this line will be $0 and negative cash flow will not impact the accruing Operating Reserve balance.</t>
        </r>
      </text>
    </comment>
    <comment ref="L64" authorId="0" shapeId="0" xr:uid="{F48A1ADD-9B3A-42C7-A741-72DDF1292DAA}">
      <text>
        <r>
          <rPr>
            <b/>
            <sz val="9"/>
            <color indexed="81"/>
            <rFont val="Tahoma"/>
            <family val="2"/>
          </rPr>
          <t>Alex Cabral:</t>
        </r>
        <r>
          <rPr>
            <sz val="9"/>
            <color indexed="81"/>
            <rFont val="Tahoma"/>
            <family val="2"/>
          </rPr>
          <t xml:space="preserve">
Loan to Cost for Senior + Sub Debt</t>
        </r>
      </text>
    </comment>
    <comment ref="R64" authorId="0" shapeId="0" xr:uid="{0B65EF36-5DAC-4D70-BD77-1E567121013F}">
      <text>
        <r>
          <rPr>
            <b/>
            <sz val="9"/>
            <color indexed="81"/>
            <rFont val="Tahoma"/>
            <family val="2"/>
          </rPr>
          <t>Alex Cabral:</t>
        </r>
        <r>
          <rPr>
            <sz val="9"/>
            <color indexed="81"/>
            <rFont val="Tahoma"/>
            <family val="2"/>
          </rPr>
          <t xml:space="preserve">
max 3 years IO period</t>
        </r>
      </text>
    </comment>
    <comment ref="X64" authorId="0" shapeId="0" xr:uid="{7DAE8733-BF78-4FD6-98A0-42F78A059ED4}">
      <text>
        <r>
          <rPr>
            <b/>
            <sz val="9"/>
            <color indexed="81"/>
            <rFont val="Tahoma"/>
            <family val="2"/>
          </rPr>
          <t>Alex Cabral:</t>
        </r>
        <r>
          <rPr>
            <sz val="9"/>
            <color indexed="81"/>
            <rFont val="Tahoma"/>
            <family val="2"/>
          </rPr>
          <t xml:space="preserve">
OpEx Reserve Annual Contribution based on the # of months of OpEx coverage needed for the following year.
Ex - The BOY OpEx Reserve balance is $50k and you plan to spend $10k this year from the OpEx Reserve account. The goal is to have XX # of months of coverage in the account at all times. To meet this goal next year, the OpEx Reserve balance needs to be $100k. Therefore, you will need to contribute $60k to the OpEx account this year ($50k - $10k + $60k = $100k).</t>
        </r>
      </text>
    </comment>
    <comment ref="L67" authorId="2" shapeId="0" xr:uid="{EAD456BA-326E-45E0-A40F-1E613ED6CB03}">
      <text>
        <t>[Threaded comment]
Your version of Excel allows you to read this threaded comment; however, any edits to it will get removed if the file is opened in a newer version of Excel. Learn more: https://go.microsoft.com/fwlink/?linkid=870924
Comment:
    Double check to make sure this is calculated the same as historic tax credits</t>
      </text>
    </comment>
    <comment ref="R72" authorId="0" shapeId="0" xr:uid="{B77F81B3-D6DF-47CA-AFD1-9D81243077F1}">
      <text>
        <r>
          <rPr>
            <b/>
            <sz val="9"/>
            <color indexed="81"/>
            <rFont val="Tahoma"/>
            <family val="2"/>
          </rPr>
          <t>Alex Cabral:</t>
        </r>
        <r>
          <rPr>
            <sz val="9"/>
            <color indexed="81"/>
            <rFont val="Tahoma"/>
            <family val="2"/>
          </rPr>
          <t xml:space="preserve">
Added to operations as a one-time contribution</t>
        </r>
      </text>
    </comment>
    <comment ref="F76" authorId="0" shapeId="0" xr:uid="{77DD50E2-E6A9-4F70-B1AA-CC730D16DDD3}">
      <text>
        <r>
          <rPr>
            <b/>
            <sz val="9"/>
            <color indexed="81"/>
            <rFont val="Tahoma"/>
            <family val="2"/>
          </rPr>
          <t>Alex Cabral:</t>
        </r>
        <r>
          <rPr>
            <sz val="9"/>
            <color indexed="81"/>
            <rFont val="Tahoma"/>
            <family val="2"/>
          </rPr>
          <t xml:space="preserve">
cell used as reference for input in cell I10 to avoid circular reference
Caculation:
Aqu/Rehab Senior Loan Interest for all years + Aqu/Rehab Senior Loan Lender Fee + 
Sub Loan #1 Interest for same term as Senior Loan (assumes IO period during Acq/Rehab phase) +
Sub Loan #1 Lender Fee + 
Sub Loan #2 Lender Fee + 
Perm Senior Loan Lender Fee + 
Sub Loan #3 (Perm Only) Lender Fee </t>
        </r>
      </text>
    </comment>
    <comment ref="R77" authorId="1" shapeId="0" xr:uid="{3DCCBA51-F77B-4EF6-A644-1A9FAF898D8F}">
      <text>
        <r>
          <rPr>
            <sz val="9"/>
            <color indexed="81"/>
            <rFont val="Tahoma"/>
            <family val="2"/>
          </rPr>
          <t xml:space="preserve">Added to operations as an ongoing contribution
</t>
        </r>
      </text>
    </comment>
    <comment ref="G79" authorId="0" shapeId="0" xr:uid="{ECA80D7D-9108-42DE-93A7-58E4841FB8A7}">
      <text>
        <r>
          <rPr>
            <b/>
            <sz val="9"/>
            <color indexed="81"/>
            <rFont val="Tahoma"/>
            <family val="2"/>
          </rPr>
          <t>Alex Cabral:</t>
        </r>
        <r>
          <rPr>
            <sz val="9"/>
            <color indexed="81"/>
            <rFont val="Tahoma"/>
            <family val="2"/>
          </rPr>
          <t xml:space="preserve">
This Replacement Reserve in the Acq/Rehab budget provides coverage for building maintenance and repairs through the Acq/Rehab Loan period. 
For the Perm/Stabilized Phase, the annual Expenses in the Operating Pro Forma include an annual controbution to the Replacement Reserve, with a running balance at the bottom of the Pro Forma.
Calculation:
# of months/12 (ex - 6 months = 0.5 = 1/2 the year)
x
Replacement Reserve per unit per year
x
# of units
</t>
        </r>
      </text>
    </comment>
    <comment ref="G80" authorId="0" shapeId="0" xr:uid="{B5DDE890-1186-4993-B6C1-4F7588DD656B}">
      <text>
        <r>
          <rPr>
            <b/>
            <sz val="9"/>
            <color indexed="81"/>
            <rFont val="Tahoma"/>
            <family val="2"/>
          </rPr>
          <t>Alex Cabral:</t>
        </r>
        <r>
          <rPr>
            <sz val="9"/>
            <color indexed="81"/>
            <rFont val="Tahoma"/>
            <family val="2"/>
          </rPr>
          <t xml:space="preserve">
This Operating Reserve in the Acq/Rehab budget provides coverage for building operating expenses and debt service (in this case, interest payments) through the Acq/Rehab Loan period. 
For the Perm/Stabilized Phase, the annual Expenses in the Operating Pro Forma include an annual controbution to the Operating Reserve, with a running balance at the bottom of the Pro Forma.
This number is an estimate because calculation uses TDC but could not include the Operating Reserve or Replacement Reserve to avoid circular references. 
Calculation:
# of months/12 (ex - 6 months = 0.5 = 1/2 the year)
x
Total Acq/Rehab Cost*LTV*Interset Rate = Senior Loan Interest (had to do it this way beacuse could not use TDC because circular reference)
x
Subordinate Loan #1 Interest
x 
Building operating expenses</t>
        </r>
      </text>
    </comment>
    <comment ref="R82" authorId="0" shapeId="0" xr:uid="{18977D3E-2004-47A1-93B4-8A8FE3BDEB9D}">
      <text>
        <r>
          <rPr>
            <b/>
            <sz val="9"/>
            <color indexed="81"/>
            <rFont val="Tahoma"/>
            <family val="2"/>
          </rPr>
          <t>Alex Cabral:</t>
        </r>
        <r>
          <rPr>
            <sz val="9"/>
            <color indexed="81"/>
            <rFont val="Tahoma"/>
            <family val="2"/>
          </rPr>
          <t xml:space="preserve">
Before pricing Member Shares, refer to the Affordability Calculator table to determine whether the coop members have sufficient income to service a share loan of that size. 
Additional modeling is strongly encouraged if share loans are being considered. This model does not take into account the complexity of balancing individual member incomes with the coop-wide income required to cover all expenses and debt service.</t>
        </r>
      </text>
    </comment>
    <comment ref="R84" authorId="0" shapeId="0" xr:uid="{86B91465-A6AC-4DB6-843E-431C5E25C21F}">
      <text>
        <r>
          <rPr>
            <b/>
            <sz val="9"/>
            <color indexed="81"/>
            <rFont val="Tahoma"/>
            <family val="2"/>
          </rPr>
          <t>Alex Cabral:</t>
        </r>
        <r>
          <rPr>
            <sz val="9"/>
            <color indexed="81"/>
            <rFont val="Tahoma"/>
            <family val="2"/>
          </rPr>
          <t xml:space="preserve">
Down Payment Assistance</t>
        </r>
      </text>
    </comment>
    <comment ref="E85" authorId="1" shapeId="0" xr:uid="{FCB4A4B2-C0E3-4D7E-B6FD-8AA3436C68E6}">
      <text>
        <r>
          <rPr>
            <b/>
            <sz val="9"/>
            <color indexed="81"/>
            <rFont val="Tahoma"/>
            <family val="2"/>
          </rPr>
          <t xml:space="preserve">Developer Fees </t>
        </r>
        <r>
          <rPr>
            <sz val="9"/>
            <color indexed="81"/>
            <rFont val="Tahoma"/>
            <family val="2"/>
          </rPr>
          <t xml:space="preserve">are a critical funding source to sustain the operations of housing providers, and local subsidy programs have options for how those fees can be structured into deals. A "Flat Fee" structure means the Developer Fee is determined as a percentage of hard costs. Alternatively, a program may set a minimum "Base Fee" with additional fees allowed for every rehabbed unit. </t>
        </r>
      </text>
    </comment>
    <comment ref="Z106" authorId="0" shapeId="0" xr:uid="{3BD51E14-0447-4560-B3E2-AB7D5EDD19CF}">
      <text>
        <r>
          <rPr>
            <b/>
            <sz val="9"/>
            <color indexed="81"/>
            <rFont val="Tahoma"/>
            <family val="2"/>
          </rPr>
          <t>Alex Cabral:</t>
        </r>
        <r>
          <rPr>
            <sz val="9"/>
            <color indexed="81"/>
            <rFont val="Tahoma"/>
            <family val="2"/>
          </rPr>
          <t xml:space="preserve">
For purpose of this exercise, this model assumes that OpEx is split evenlt amongst all members, regardless of income level</t>
        </r>
      </text>
    </comment>
    <comment ref="Z107" authorId="0" shapeId="0" xr:uid="{268377AF-32AE-4F47-839E-96A0E56BBB84}">
      <text>
        <r>
          <rPr>
            <b/>
            <sz val="9"/>
            <color indexed="81"/>
            <rFont val="Tahoma"/>
            <family val="2"/>
          </rPr>
          <t>Alex Cabral:</t>
        </r>
        <r>
          <rPr>
            <sz val="9"/>
            <color indexed="81"/>
            <rFont val="Tahoma"/>
            <family val="2"/>
          </rPr>
          <t xml:space="preserve">
For purpose of this exercise, this model assumes that Debt Service is split evenlt amongst all members, regardless of income level.
Debt Service from Year 4 is used to avoid the Interest Only Period (potentially Years 1-3)</t>
        </r>
      </text>
    </comment>
    <comment ref="Z111" authorId="0" shapeId="0" xr:uid="{4159597F-9CA1-4024-9612-1FB84CD1F417}">
      <text>
        <r>
          <rPr>
            <b/>
            <sz val="9"/>
            <color indexed="81"/>
            <rFont val="Tahoma"/>
            <family val="2"/>
          </rPr>
          <t>Alex Cabral:</t>
        </r>
        <r>
          <rPr>
            <sz val="9"/>
            <color indexed="81"/>
            <rFont val="Tahoma"/>
            <family val="2"/>
          </rPr>
          <t xml:space="preserve">
Even if "Yes", a member
can afford it, additional modeling is recommended. Due to varying income levels, some coop members may not fully cover 'their share' of the coop's OpEx and Debt Service, thereby requiring subsidy from higher-income level members.
The Remaining Cash Flow line in the Operating Pro Forma shows the balance left after all members have covered OpEx and Debt Service. If material, there may be room for share loans. If minimal, share loans are not recommended.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James Yelen</author>
    <author>Alex Cabral</author>
    <author>tc={88D8CAF6-576E-4FEF-8AC8-91B236A7DA9C}</author>
  </authors>
  <commentList>
    <comment ref="Q15" authorId="0" shapeId="0" xr:uid="{A41FFE78-B40D-4E49-B29F-B9EB6C77512A}">
      <text>
        <r>
          <rPr>
            <sz val="9"/>
            <color indexed="81"/>
            <rFont val="Tahoma"/>
            <family val="2"/>
          </rPr>
          <t xml:space="preserve">Restricted units only 
</t>
        </r>
      </text>
    </comment>
    <comment ref="Q16" authorId="0" shapeId="0" xr:uid="{7026EDC3-2F80-4ABE-87C3-40248C4A2286}">
      <text>
        <r>
          <rPr>
            <sz val="9"/>
            <color indexed="81"/>
            <rFont val="Tahoma"/>
            <family val="2"/>
          </rPr>
          <t>For determining pro rata application of Welfare Tax Exemption</t>
        </r>
      </text>
    </comment>
    <comment ref="V26" authorId="1" shapeId="0" xr:uid="{7EB8D056-693F-44F3-94DA-81970FAF7365}">
      <text>
        <r>
          <rPr>
            <b/>
            <sz val="9"/>
            <color indexed="81"/>
            <rFont val="Tahoma"/>
            <family val="2"/>
          </rPr>
          <t>Alex Cabral:</t>
        </r>
        <r>
          <rPr>
            <sz val="9"/>
            <color indexed="81"/>
            <rFont val="Tahoma"/>
            <family val="2"/>
          </rPr>
          <t xml:space="preserve">
This is the maximum affordable sales price. Depending on the region, housing market, and economic realities, homes may need to be sold for less.</t>
        </r>
      </text>
    </comment>
    <comment ref="V27" authorId="1" shapeId="0" xr:uid="{4FB22565-E775-49A9-A7D0-AD8FD3B1976B}">
      <text>
        <r>
          <rPr>
            <b/>
            <sz val="9"/>
            <color indexed="81"/>
            <rFont val="Tahoma"/>
            <family val="2"/>
          </rPr>
          <t>Alex Cabral:</t>
        </r>
        <r>
          <rPr>
            <sz val="9"/>
            <color indexed="81"/>
            <rFont val="Tahoma"/>
            <family val="2"/>
          </rPr>
          <t xml:space="preserve">
Negative value = no subsidy required because the maximum Sale Price is greater than the Total Development Cost</t>
        </r>
      </text>
    </comment>
    <comment ref="F50" authorId="1" shapeId="0" xr:uid="{1D31E39F-F4B0-48A5-83C2-387F300F25C4}">
      <text>
        <r>
          <rPr>
            <b/>
            <sz val="9"/>
            <color indexed="81"/>
            <rFont val="Tahoma"/>
            <family val="2"/>
          </rPr>
          <t>Alex Cabral:</t>
        </r>
        <r>
          <rPr>
            <sz val="9"/>
            <color indexed="81"/>
            <rFont val="Tahoma"/>
            <family val="2"/>
          </rPr>
          <t xml:space="preserve">
It is likely that different sized units will have varying rehab costs. However for this model, you must average the rehab cost across all units</t>
        </r>
      </text>
    </comment>
    <comment ref="L57" authorId="1" shapeId="0" xr:uid="{2A153722-231C-4485-B10C-343301A86665}">
      <text>
        <r>
          <rPr>
            <b/>
            <sz val="9"/>
            <color indexed="81"/>
            <rFont val="Tahoma"/>
            <family val="2"/>
          </rPr>
          <t>Alex Cabral:</t>
        </r>
        <r>
          <rPr>
            <sz val="9"/>
            <color indexed="81"/>
            <rFont val="Tahoma"/>
            <family val="2"/>
          </rPr>
          <t xml:space="preserve">
Loan to Cost for Senior + Sub Debt</t>
        </r>
      </text>
    </comment>
    <comment ref="L60" authorId="2" shapeId="0" xr:uid="{88D8CAF6-576E-4FEF-8AC8-91B236A7DA9C}">
      <text>
        <t>[Threaded comment]
Your version of Excel allows you to read this threaded comment; however, any edits to it will get removed if the file is opened in a newer version of Excel. Learn more: https://go.microsoft.com/fwlink/?linkid=870924
Comment:
    Double check to make sure this is calculated the same as historic tax credits</t>
      </text>
    </comment>
    <comment ref="U60" authorId="1" shapeId="0" xr:uid="{BC96463C-E4EE-4F75-8296-F94C400CAA2B}">
      <text>
        <r>
          <rPr>
            <b/>
            <sz val="9"/>
            <color indexed="81"/>
            <rFont val="Tahoma"/>
            <family val="2"/>
          </rPr>
          <t>Alex Cabral:</t>
        </r>
        <r>
          <rPr>
            <sz val="9"/>
            <color indexed="81"/>
            <rFont val="Tahoma"/>
            <family val="2"/>
          </rPr>
          <t xml:space="preserve">
There are three common types of resale formulas: fixed rate, appraisal-based, and index-based. Only the fixed rate fomrula is shown here</t>
        </r>
      </text>
    </comment>
    <comment ref="F70" authorId="1" shapeId="0" xr:uid="{406466F4-4AF4-4051-BFEA-183B734FA67A}">
      <text>
        <r>
          <rPr>
            <b/>
            <sz val="9"/>
            <color indexed="81"/>
            <rFont val="Tahoma"/>
            <family val="2"/>
          </rPr>
          <t>Alex Cabral:</t>
        </r>
        <r>
          <rPr>
            <sz val="9"/>
            <color indexed="81"/>
            <rFont val="Tahoma"/>
            <family val="2"/>
          </rPr>
          <t xml:space="preserve">
cell used as reference for input in cell I10 to avoid circular reference
Caculation:
Aqu/Rehab Senior Loan Interest for all years + Aqu/Rehab Senior Loan Lender Fee + 
Sub Loan #1 Interest for same term as Senior Loan (assumes IO period during Acq/Rehab phase) +
Sub Loan #1 Lender Fee + 
Sub Loan #2 Lender Fee + 
Perm Senior Loan Lender Fee + 
Sub Loan #3 (Perm Only) Lender Fee </t>
        </r>
      </text>
    </comment>
    <comment ref="V70" authorId="1" shapeId="0" xr:uid="{7A955EF1-F25F-4A1A-80D4-EC26E3D2F18A}">
      <text>
        <r>
          <rPr>
            <b/>
            <sz val="9"/>
            <color indexed="81"/>
            <rFont val="Tahoma"/>
            <family val="2"/>
          </rPr>
          <t>Alex Cabral:</t>
        </r>
        <r>
          <rPr>
            <sz val="9"/>
            <color indexed="81"/>
            <rFont val="Tahoma"/>
            <family val="2"/>
          </rPr>
          <t xml:space="preserve">
DOES NOT include sale transaction costs</t>
        </r>
      </text>
    </comment>
    <comment ref="G72" authorId="1" shapeId="0" xr:uid="{7F44D3FD-D6EB-41F5-957B-9F698C37FC70}">
      <text>
        <r>
          <rPr>
            <b/>
            <sz val="9"/>
            <color indexed="81"/>
            <rFont val="Tahoma"/>
            <family val="2"/>
          </rPr>
          <t>Alex Cabral:</t>
        </r>
        <r>
          <rPr>
            <sz val="9"/>
            <color indexed="81"/>
            <rFont val="Tahoma"/>
            <family val="2"/>
          </rPr>
          <t xml:space="preserve">
Provides coverage for building maintenance and repairs for xx months through the Acq/Rehab Loan period. 
Calculation:
# of months/12 (ex - 6 months = 0.5 = 1/2 the year)
x
Replacement Reserve per unit per year
x
# of units
</t>
        </r>
      </text>
    </comment>
    <comment ref="G73" authorId="1" shapeId="0" xr:uid="{DDDB8B3E-2D1D-4BDB-B594-A2F00F6C4162}">
      <text>
        <r>
          <rPr>
            <b/>
            <sz val="9"/>
            <color indexed="81"/>
            <rFont val="Tahoma"/>
            <family val="2"/>
          </rPr>
          <t>Alex Cabral:</t>
        </r>
        <r>
          <rPr>
            <sz val="9"/>
            <color indexed="81"/>
            <rFont val="Tahoma"/>
            <family val="2"/>
          </rPr>
          <t xml:space="preserve">
Provides coverage for building operating expenses and debt service (in this case, interest payments) for xx months through the Acq/Rehab Loan period. 
This number is an estimate because calculation uses TDC but could not include the Operating Reserve or Replacement Reserve to avoid circular references. 
Calculation:
# of months/12 (ex - 6 months = 0.5 = 1/2 the year)
x
Total Acq/Rehab Cost*LTV*Interset Rate = Senior Loan Interest (had to do it this way beacuse could not use TDC because circular reference)
x
Subordinate Loan #1 Interest
x 
Building operating expenses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Alex Cabral</author>
    <author>tc={C9F3C8B5-108E-4FF0-9FD2-6CF829C399EF}</author>
  </authors>
  <commentList>
    <comment ref="T25" authorId="0" shapeId="0" xr:uid="{73D4780B-7E1A-4AD4-9C59-0F351401BC34}">
      <text>
        <r>
          <rPr>
            <b/>
            <sz val="9"/>
            <color indexed="81"/>
            <rFont val="Tahoma"/>
            <family val="2"/>
          </rPr>
          <t>Alex Cabral:</t>
        </r>
        <r>
          <rPr>
            <sz val="9"/>
            <color indexed="81"/>
            <rFont val="Tahoma"/>
            <family val="2"/>
          </rPr>
          <t xml:space="preserve">
This is the maximum affordable sales price. Depending on the region, housing market, and economic realities, homes may need to be sold for less.</t>
        </r>
      </text>
    </comment>
    <comment ref="T26" authorId="0" shapeId="0" xr:uid="{E20AA845-54D9-4DF5-AA53-BDB070B2789D}">
      <text>
        <r>
          <rPr>
            <b/>
            <sz val="9"/>
            <color indexed="81"/>
            <rFont val="Tahoma"/>
            <family val="2"/>
          </rPr>
          <t>Alex Cabral:</t>
        </r>
        <r>
          <rPr>
            <sz val="9"/>
            <color indexed="81"/>
            <rFont val="Tahoma"/>
            <family val="2"/>
          </rPr>
          <t xml:space="preserve">
Negative value = no subsidy required because the maximum Sale Price is greater than the Total Development Cost</t>
        </r>
      </text>
    </comment>
    <comment ref="F50" authorId="0" shapeId="0" xr:uid="{62A3DDD2-E71D-4109-8D19-B6407814DA6F}">
      <text>
        <r>
          <rPr>
            <b/>
            <sz val="9"/>
            <color indexed="81"/>
            <rFont val="Tahoma"/>
            <family val="2"/>
          </rPr>
          <t>Alex Cabral:</t>
        </r>
        <r>
          <rPr>
            <sz val="9"/>
            <color indexed="81"/>
            <rFont val="Tahoma"/>
            <family val="2"/>
          </rPr>
          <t xml:space="preserve">
It is likely that different sized units will have varying rehab costs. However for this model, you must average the rehab cost across all units</t>
        </r>
      </text>
    </comment>
    <comment ref="L57" authorId="0" shapeId="0" xr:uid="{8867693D-CE4A-4A1C-AEDB-B473F00E3907}">
      <text>
        <r>
          <rPr>
            <b/>
            <sz val="9"/>
            <color indexed="81"/>
            <rFont val="Tahoma"/>
            <family val="2"/>
          </rPr>
          <t>Alex Cabral:</t>
        </r>
        <r>
          <rPr>
            <sz val="9"/>
            <color indexed="81"/>
            <rFont val="Tahoma"/>
            <family val="2"/>
          </rPr>
          <t xml:space="preserve">
Loan to Cost for Senior + Sub Debt</t>
        </r>
      </text>
    </comment>
    <comment ref="S59" authorId="0" shapeId="0" xr:uid="{561A8471-D84C-4A28-A5DD-DD29A40D203F}">
      <text>
        <r>
          <rPr>
            <b/>
            <sz val="9"/>
            <color indexed="81"/>
            <rFont val="Tahoma"/>
            <family val="2"/>
          </rPr>
          <t>Alex Cabral:</t>
        </r>
        <r>
          <rPr>
            <sz val="9"/>
            <color indexed="81"/>
            <rFont val="Tahoma"/>
            <family val="2"/>
          </rPr>
          <t xml:space="preserve">
There are three common types of resale formulas: fixed rate, appraisal-based, and index-based. Only the fixed rate fomrula is shown here</t>
        </r>
      </text>
    </comment>
    <comment ref="L60" authorId="1" shapeId="0" xr:uid="{C9F3C8B5-108E-4FF0-9FD2-6CF829C399EF}">
      <text>
        <t>[Threaded comment]
Your version of Excel allows you to read this threaded comment; however, any edits to it will get removed if the file is opened in a newer version of Excel. Learn more: https://go.microsoft.com/fwlink/?linkid=870924
Comment:
    Double check to make sure this is calculated the same as historic tax credits</t>
      </text>
    </comment>
    <comment ref="T69" authorId="0" shapeId="0" xr:uid="{86C92FAB-30EF-4BA2-98D8-6C3810CD02E1}">
      <text>
        <r>
          <rPr>
            <b/>
            <sz val="9"/>
            <color indexed="81"/>
            <rFont val="Tahoma"/>
            <family val="2"/>
          </rPr>
          <t>Alex Cabral:</t>
        </r>
        <r>
          <rPr>
            <sz val="9"/>
            <color indexed="81"/>
            <rFont val="Tahoma"/>
            <family val="2"/>
          </rPr>
          <t xml:space="preserve">
DOES NOT include sale transaction costs</t>
        </r>
      </text>
    </comment>
    <comment ref="F70" authorId="0" shapeId="0" xr:uid="{9E9D8F79-FC87-4F96-BA83-1785D129DE0A}">
      <text>
        <r>
          <rPr>
            <b/>
            <sz val="9"/>
            <color indexed="81"/>
            <rFont val="Tahoma"/>
            <family val="2"/>
          </rPr>
          <t>Alex Cabral:</t>
        </r>
        <r>
          <rPr>
            <sz val="9"/>
            <color indexed="81"/>
            <rFont val="Tahoma"/>
            <family val="2"/>
          </rPr>
          <t xml:space="preserve">
cell used as reference for input in cell I10 to avoid circular reference
Caculation:
Aqu/Rehab Senior Loan Interest for all years + Aqu/Rehab Senior Loan Lender Fee + 
Sub Loan #1 Interest for same term as Senior Loan (assumes IO period during Acq/Rehab phase) +
Sub Loan #1 Lender Fee + 
Sub Loan #2 Lender Fee + 
Perm Senior Loan Lender Fee + 
Sub Loan #3 (Perm Only) Lender Fee </t>
        </r>
      </text>
    </comment>
    <comment ref="G72" authorId="0" shapeId="0" xr:uid="{8F44F70D-1FD7-4316-9DE5-AB2BD16F6DBA}">
      <text>
        <r>
          <rPr>
            <b/>
            <sz val="9"/>
            <color indexed="81"/>
            <rFont val="Tahoma"/>
            <family val="2"/>
          </rPr>
          <t>Alex Cabral:</t>
        </r>
        <r>
          <rPr>
            <sz val="9"/>
            <color indexed="81"/>
            <rFont val="Tahoma"/>
            <family val="2"/>
          </rPr>
          <t xml:space="preserve">
Provides coverage for building maintenance and repairs for xx months through the Acq/Rehab Loan period. 
Calculation:
# of months/12 (ex - 6 months = 0.5 = 1/2 the year)
x
Replacement Reserve per unit per year
x
# of units
</t>
        </r>
      </text>
    </comment>
    <comment ref="G73" authorId="0" shapeId="0" xr:uid="{6C1D9A7E-0E3E-497D-AD40-91C606EDF9F8}">
      <text>
        <r>
          <rPr>
            <b/>
            <sz val="9"/>
            <color indexed="81"/>
            <rFont val="Tahoma"/>
            <family val="2"/>
          </rPr>
          <t>Alex Cabral:</t>
        </r>
        <r>
          <rPr>
            <sz val="9"/>
            <color indexed="81"/>
            <rFont val="Tahoma"/>
            <family val="2"/>
          </rPr>
          <t xml:space="preserve">
Provides coverage for building operating expenses and debt service (in this case, interest payments) for xx months through the Acq/Rehab Loan period. 
This number is an estimate because calculation uses TDC but could not include the Operating Reserve or Replacement Reserve to avoid circular references. 
Calculation:
# of months/12 (ex - 6 months = 0.5 = 1/2 the year)
x
Total Acq/Rehab Cost*LTV*Interset Rate = Senior Loan Interest (had to do it this way beacuse could not use TDC because circular reference)
x
Subordinate Loan #1 Interest
x 
Building operating expenses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tc={A1B45AFC-902C-4935-9BC6-C7E6D34F39C6}</author>
    <author>tc={715A40AA-4215-4860-A724-8B8AAB7F43F2}</author>
    <author>James Yelen</author>
    <author>tc={3D0591F8-1382-4FCA-997E-719BF1A0CE79}</author>
    <author>tc={72F874EE-5AAF-4BA6-B86B-891980A2C30D}</author>
    <author>tc={8F38BA41-6958-4E29-9CBC-2917BD202FB8}</author>
    <author>tc={B3FF1FE0-59CC-4B2B-B6BE-AD4F6BA4D73C}</author>
    <author>tc={93B36B4E-CD8D-4620-B329-0D7FBAB665DF}</author>
    <author>tc={D326C3C5-BC4F-4169-BE5D-86568F7FEC43}</author>
    <author>tc={44E0EEC1-BD87-48F9-93B1-1493F541D98A}</author>
    <author>tc={10DE5ED3-30AD-437B-A114-1D0E21D1702C}</author>
    <author>tc={5231C677-7EE8-4349-8F4C-32BED330A312}</author>
    <author>tc={6F82005E-C3D0-4BDA-9E3B-72DD886CAD5D}</author>
    <author>tc={703EF469-35ED-4602-8761-4FEB45E9110D}</author>
    <author>tc={919A0EC4-C417-42A8-AE28-7A2697C38D98}</author>
    <author>tc={B2663C20-7F3D-4178-9B22-82EA1E78BFAB}</author>
    <author>tc={37336A71-3DE3-4A90-883C-3C2B9B4DE07D}</author>
    <author>tc={51548ED0-4BCF-4AFE-AF9A-60D6B508CAC0}</author>
    <author>tc={69996E21-E52D-49DB-BFC1-349FE2FD8D37}</author>
    <author>tc={B08C1B93-5046-4A0C-8CD4-3FC4D3D71A8E}</author>
    <author>tc={67F0835F-C89B-4E0E-9040-12B812771876}</author>
    <author>tc={5CD58E58-47D3-4A59-92B0-B0D956F1FC05}</author>
    <author>tc={2D737B1B-25B1-4ACC-B4DF-B443E89EDCD3}</author>
  </authors>
  <commentList>
    <comment ref="AM2" authorId="0" shapeId="0" xr:uid="{A1B45AFC-902C-4935-9BC6-C7E6D34F39C6}">
      <text>
        <t>[Threaded comment]
Your version of Excel allows you to read this threaded comment; however, any edits to it will get removed if the file is opened in a newer version of Excel. Learn more: https://go.microsoft.com/fwlink/?linkid=870924
Comment:
    Assumed debt, deferred developer fees, operating income, and other sources that developer did not further elaborate on</t>
      </text>
    </comment>
    <comment ref="AV5" authorId="1" shapeId="0" xr:uid="{715A40AA-4215-4860-A724-8B8AAB7F43F2}">
      <text>
        <t>[Threaded comment]
Your version of Excel allows you to read this threaded comment; however, any edits to it will get removed if the file is opened in a newer version of Excel. Learn more: https://go.microsoft.com/fwlink/?linkid=870924
Comment:
    advertising</t>
      </text>
    </comment>
    <comment ref="M6" authorId="2" shapeId="0" xr:uid="{A9CE86A2-E3E5-40B9-8416-A9DF31F5A9FA}">
      <text>
        <r>
          <rPr>
            <sz val="9"/>
            <color indexed="81"/>
            <rFont val="Tahoma"/>
            <family val="2"/>
          </rPr>
          <t>temporary on-site unit swap</t>
        </r>
      </text>
    </comment>
    <comment ref="M7" authorId="2" shapeId="0" xr:uid="{FE5961DA-17D5-4C5C-9E1B-307E472E1962}">
      <text>
        <r>
          <rPr>
            <sz val="9"/>
            <color indexed="81"/>
            <rFont val="Tahoma"/>
            <family val="2"/>
          </rPr>
          <t>on-site for one unit, short term, no cost</t>
        </r>
      </text>
    </comment>
    <comment ref="O8" authorId="2" shapeId="0" xr:uid="{40D164E0-82E2-4D3C-B630-BE72E4CEA401}">
      <text>
        <r>
          <rPr>
            <sz val="9"/>
            <color indexed="81"/>
            <rFont val="Tahoma"/>
            <family val="2"/>
          </rPr>
          <t>Architecture - Design: $100,000
Design/Engineering - MEP: $75,000
Geotech/Soils Report: $5,000
PNA/CNA Report: $7,500
ALTA Survey: $7,500
Appraisal: $10,000
Market/Rent Comp Study: $5,000
Syndication Consulting: $95,000
Audit/Cost Certification: $10,000
Developer Fee: $682,580
Subtotal: $997,580</t>
        </r>
      </text>
    </comment>
    <comment ref="R8" authorId="3" shapeId="0" xr:uid="{3D0591F8-1382-4FCA-997E-719BF1A0CE79}">
      <text>
        <t>[Threaded comment]
Your version of Excel allows you to read this threaded comment; however, any edits to it will get removed if the file is opened in a newer version of Excel. Learn more: https://go.microsoft.com/fwlink/?linkid=870924
Comment:
    Construction Lender Origination Fee: $19,182
Construction Lender Expenses: $20,000
Permanent Lender Expenses: $15,000
Permanent Loan Origination Fee: $15,647
Subtotal: $69,829</t>
      </text>
    </comment>
    <comment ref="S8" authorId="4" shapeId="0" xr:uid="{72F874EE-5AAF-4BA6-B86B-891980A2C30D}">
      <text>
        <t>[Threaded comment]
Your version of Excel allows you to read this threaded comment; however, any edits to it will get removed if the file is opened in a newer version of Excel. Learn more: https://go.microsoft.com/fwlink/?linkid=870924
Comment:
    Construction Loan Interest: $176,547
Accrued Interest - County HOME: $53,734
Real Estate Taxes During Const: $10,000
Insurance During Const: $50,000
TCAC Application/Res/Monitoring Fee: $31,856
Marketing: $15,000
Furnishings Not in Contract: $23,000
Capitalized Operating Reserve (3 mos.): $72,807
Subtotal: $432,944</t>
      </text>
    </comment>
    <comment ref="AG8" authorId="2" shapeId="0" xr:uid="{C5F41AF7-5886-46DD-9D69-AD95FC03B1AA}">
      <text>
        <r>
          <rPr>
            <sz val="9"/>
            <color indexed="81"/>
            <rFont val="Tahoma"/>
            <family val="2"/>
          </rPr>
          <t>Acquired project reserves</t>
        </r>
      </text>
    </comment>
    <comment ref="AH8" authorId="2" shapeId="0" xr:uid="{E94B16DF-2082-461E-B1A6-5BD97D702B33}">
      <text>
        <r>
          <rPr>
            <sz val="9"/>
            <color indexed="81"/>
            <rFont val="Tahoma"/>
            <family val="2"/>
          </rPr>
          <t>New USDA 515 1.9MM
Previous USDA 515 145K</t>
        </r>
      </text>
    </comment>
    <comment ref="AJ8" authorId="2" shapeId="0" xr:uid="{5CAC08AB-F688-4661-8464-2A123EF8869F}">
      <text>
        <r>
          <rPr>
            <sz val="9"/>
            <color indexed="81"/>
            <rFont val="Tahoma"/>
            <family val="2"/>
          </rPr>
          <t xml:space="preserve">County HOME </t>
        </r>
      </text>
    </comment>
    <comment ref="AK8" authorId="2" shapeId="0" xr:uid="{13FE712F-456F-4FB7-8424-8D29F4354064}">
      <text>
        <r>
          <rPr>
            <sz val="9"/>
            <color indexed="81"/>
            <rFont val="Tahoma"/>
            <family val="2"/>
          </rPr>
          <t>CMF + LIHTC equity</t>
        </r>
      </text>
    </comment>
    <comment ref="L9" authorId="2" shapeId="0" xr:uid="{B6AE878B-CADB-432B-9079-9B641DAB68E7}">
      <text>
        <r>
          <rPr>
            <sz val="9"/>
            <color indexed="81"/>
            <rFont val="Tahoma"/>
            <family val="2"/>
          </rPr>
          <t xml:space="preserve">Legal Construction and Perm Closing: $50,000
Construction Lender Counsel: $25,000
Title/Recording/Escrow for Construction: $35,000
Title/Recording/Escrow for Perm: $15,000
</t>
        </r>
        <r>
          <rPr>
            <sz val="9"/>
            <color indexed="81"/>
            <rFont val="Tahoma"/>
            <family val="2"/>
          </rPr>
          <t xml:space="preserve">
</t>
        </r>
      </text>
    </comment>
    <comment ref="O9" authorId="2" shapeId="0" xr:uid="{611D9274-A209-406C-8742-767CF12E87F6}">
      <text>
        <r>
          <rPr>
            <sz val="9"/>
            <color indexed="81"/>
            <rFont val="Tahoma"/>
            <family val="2"/>
          </rPr>
          <t>Architecture: $150k
MEP: $50k
Reports, surveys, testing: $30k
Owner's Rep: $50k
Security: $15k
Appraisal: $10k
Market Study: $10k
Financial Consultant: $35k
Audit/Cost Certification: $10k</t>
        </r>
      </text>
    </comment>
    <comment ref="R9" authorId="2" shapeId="0" xr:uid="{15495862-5225-4F76-AF40-AE3C08E88CD3}">
      <text>
        <r>
          <rPr>
            <sz val="9"/>
            <color indexed="81"/>
            <rFont val="Tahoma"/>
            <family val="2"/>
          </rPr>
          <t>Construction Loan Interest: $397,658
Origination expenses: $59,901</t>
        </r>
      </text>
    </comment>
    <comment ref="U9" authorId="2" shapeId="0" xr:uid="{9799009C-9AE3-4980-8DB0-214E468774CE}">
      <text>
        <r>
          <rPr>
            <sz val="9"/>
            <color indexed="81"/>
            <rFont val="Tahoma"/>
            <family val="2"/>
          </rPr>
          <t>Includes General Conditions, Overhead, Profit, GC Insurance and Bond Premium</t>
        </r>
      </text>
    </comment>
    <comment ref="AH9" authorId="2" shapeId="0" xr:uid="{266DA312-7858-4AAE-B295-999A08687A35}">
      <text>
        <r>
          <rPr>
            <sz val="9"/>
            <color indexed="81"/>
            <rFont val="Tahoma"/>
            <family val="2"/>
          </rPr>
          <t>Sponsor note and existing loan</t>
        </r>
      </text>
    </comment>
    <comment ref="AL9" authorId="2" shapeId="0" xr:uid="{C71EFC0C-3DED-4C16-8971-0D3C2EA26388}">
      <text>
        <r>
          <rPr>
            <sz val="9"/>
            <color indexed="81"/>
            <rFont val="Tahoma"/>
            <family val="2"/>
          </rPr>
          <t>HCD Portfolio Reinvestmen Program Loan: $6.32 Million (below market loan)
HCD Existing California Housing Rehab Program Loan: $3.2 Mil (below market loan)</t>
        </r>
      </text>
    </comment>
    <comment ref="O10" authorId="2" shapeId="0" xr:uid="{5F809B7A-14EF-4454-BCA5-F2C0F4CB3F32}">
      <text>
        <r>
          <rPr>
            <sz val="9"/>
            <color indexed="81"/>
            <rFont val="Tahoma"/>
            <family val="2"/>
          </rPr>
          <t>Architecture
Construction Admin 
Capital Needs Assessment</t>
        </r>
      </text>
    </comment>
    <comment ref="R10" authorId="2" shapeId="0" xr:uid="{11960394-68FC-4C08-B2C3-4DDDA28649A2}">
      <text>
        <r>
          <rPr>
            <sz val="9"/>
            <color indexed="81"/>
            <rFont val="Tahoma"/>
            <family val="2"/>
          </rPr>
          <t>Origination Fee – CDFI (1.00%): $5,700
Origination Fee – City (1.00%): $12,000
Title &amp; Recording: $7,000
 Subtotal: $24,700</t>
        </r>
      </text>
    </comment>
    <comment ref="S10" authorId="2" shapeId="0" xr:uid="{1767120C-0879-46EE-802B-06F02E617D4E}">
      <text>
        <r>
          <rPr>
            <sz val="9"/>
            <color indexed="81"/>
            <rFont val="Tahoma"/>
            <family val="2"/>
          </rPr>
          <t>General Liabilities Insurance: $2,120
Bond Premium: $3,710
ALTA Survey (cancel fee): $525
Operating Reserves: $36,000
Replacement Reserves: $16,000</t>
        </r>
      </text>
    </comment>
    <comment ref="T10" authorId="5" shapeId="0" xr:uid="{8F38BA41-6958-4E29-9CBC-2917BD202FB8}">
      <text>
        <t>[Threaded comment]
Your version of Excel allows you to read this threaded comment; however, any edits to it will get removed if the file is opened in a newer version of Excel. Learn more: https://go.microsoft.com/fwlink/?linkid=870924
Comment:
    General Liabilities Insurance: $2,120
Bond Premium: $3,710
ALTA Survey (cancel fee): $525
Other Redevelopment Costs (line): $125,025</t>
      </text>
    </comment>
    <comment ref="U10" authorId="2" shapeId="0" xr:uid="{733311D6-F38D-4B77-84C4-F80D2BE069B6}">
      <text>
        <r>
          <rPr>
            <sz val="9"/>
            <color indexed="81"/>
            <rFont val="Tahoma"/>
            <family val="2"/>
          </rPr>
          <t>General Requirements, Contractor Overhead, Bond Premium and GL Insurance</t>
        </r>
      </text>
    </comment>
    <comment ref="AB10" authorId="2" shapeId="0" xr:uid="{10F85E13-AC2F-40E1-9313-8FFB7CDEF56D}">
      <text>
        <r>
          <rPr>
            <sz val="9"/>
            <color indexed="81"/>
            <rFont val="Tahoma"/>
            <family val="2"/>
          </rPr>
          <t>$100k prevailing wage premium + Unit improvements, exteriors, carpentry, kitchen enhancements, other odds and ends</t>
        </r>
      </text>
    </comment>
    <comment ref="O11" authorId="2" shapeId="0" xr:uid="{7B267D06-5C50-4951-A52D-A2B05E352665}">
      <text>
        <r>
          <rPr>
            <sz val="9"/>
            <color indexed="81"/>
            <rFont val="Tahoma"/>
            <family val="2"/>
          </rPr>
          <t>Professional Services (Arch/Eng/Consultants):
Design: $53,788.81
Supervision: $0.00
Survey &amp; Engineering: $11,540.00
Appraisal: $2,900.00
Market Study: $0.00
Environmental Audit: $7,715.00
Subtotal Professional Services: $75,943.81</t>
        </r>
      </text>
    </comment>
    <comment ref="S11" authorId="2" shapeId="0" xr:uid="{25C75EB5-0056-47D2-AA0A-53387CFE44B3}">
      <text>
        <r>
          <rPr>
            <sz val="9"/>
            <color indexed="81"/>
            <rFont val="Tahoma"/>
            <family val="2"/>
          </rPr>
          <t xml:space="preserve">3rd Party Construction Management Oversight: $30,000
Operating Reserves: $80,224.00
Replacement Reserves: $203,000.00
</t>
        </r>
      </text>
    </comment>
    <comment ref="U11" authorId="2" shapeId="0" xr:uid="{B89A5C5D-E87E-46FB-AA00-C24063B90115}">
      <text>
        <r>
          <rPr>
            <sz val="9"/>
            <color indexed="81"/>
            <rFont val="Tahoma"/>
            <family val="2"/>
          </rPr>
          <t xml:space="preserve">General Requirements: $258,622.84
Contractor Overhead: $210,592.88
Bond Premium: $34,747.83
</t>
        </r>
      </text>
    </comment>
    <comment ref="AB11" authorId="2" shapeId="0" xr:uid="{C434A8C7-4DB6-4D65-B44F-F03C95277115}">
      <text>
        <r>
          <rPr>
            <sz val="9"/>
            <color indexed="81"/>
            <rFont val="Tahoma"/>
            <family val="2"/>
          </rPr>
          <t>Unclear what this refers to in pro forma, but likely related to hard costs</t>
        </r>
      </text>
    </comment>
    <comment ref="AM11" authorId="2" shapeId="0" xr:uid="{72C56F0B-3E74-4741-9051-DBE7AEAA43FA}">
      <text>
        <r>
          <rPr>
            <sz val="9"/>
            <color indexed="81"/>
            <rFont val="Tahoma"/>
            <family val="2"/>
          </rPr>
          <t>Solar Loan</t>
        </r>
      </text>
    </comment>
    <comment ref="AX11" authorId="2" shapeId="0" xr:uid="{ABE40EA4-C81E-4994-ACD4-DAC772559C34}">
      <text>
        <r>
          <rPr>
            <sz val="9"/>
            <color indexed="81"/>
            <rFont val="Tahoma"/>
            <family val="2"/>
          </rPr>
          <t>OpEx not provided</t>
        </r>
      </text>
    </comment>
    <comment ref="AC12" authorId="6" shapeId="0" xr:uid="{B3FF1FE0-59CC-4B2B-B6BE-AD4F6BA4D73C}">
      <text>
        <t>[Threaded comment]
Your version of Excel allows you to read this threaded comment; however, any edits to it will get removed if the file is opened in a newer version of Excel. Learn more: https://go.microsoft.com/fwlink/?linkid=870924
Comment:
    $1,841,648 + balance of financing sources after accounting for all other known expenses</t>
      </text>
    </comment>
    <comment ref="O27" authorId="7" shapeId="0" xr:uid="{93B36B4E-CD8D-4620-B329-0D7FBAB665DF}">
      <text>
        <t>[Threaded comment]
Your version of Excel allows you to read this threaded comment; however, any edits to it will get removed if the file is opened in a newer version of Excel. Learn more: https://go.microsoft.com/fwlink/?linkid=870924
Comment:
    Architect, survey, phase I &amp; II, CAN/PNA, other enviro consultants, marketing rent-up, and construction mgmt. fees</t>
      </text>
    </comment>
    <comment ref="R27" authorId="8" shapeId="0" xr:uid="{D326C3C5-BC4F-4169-BE5D-86568F7FEC43}">
      <text>
        <t>[Threaded comment]
Your version of Excel allows you to read this threaded comment; however, any edits to it will get removed if the file is opened in a newer version of Excel. Learn more: https://go.microsoft.com/fwlink/?linkid=870924
Comment:
    Perm loan origination fee</t>
      </text>
    </comment>
    <comment ref="S27" authorId="9" shapeId="0" xr:uid="{44E0EEC1-BD87-48F9-93B1-1493F541D98A}">
      <text>
        <t>[Threaded comment]
Your version of Excel allows you to read this threaded comment; however, any edits to it will get removed if the file is opened in a newer version of Excel. Learn more: https://go.microsoft.com/fwlink/?linkid=870924
Comment:
    Taxes, insurance, PSA monitoring and servicing fees</t>
      </text>
    </comment>
    <comment ref="AM27" authorId="10" shapeId="0" xr:uid="{10DE5ED3-30AD-437B-A114-1D0E21D1702C}">
      <text>
        <t>[Threaded comment]
Your version of Excel allows you to read this threaded comment; however, any edits to it will get removed if the file is opened in a newer version of Excel. Learn more: https://go.microsoft.com/fwlink/?linkid=870924
Comment:
    Deferred developer fee</t>
      </text>
    </comment>
    <comment ref="BF27" authorId="2" shapeId="0" xr:uid="{787C875E-DB9D-4264-95A5-1659A96C0398}">
      <text>
        <r>
          <rPr>
            <sz val="9"/>
            <color indexed="81"/>
            <rFont val="Tahoma"/>
            <family val="2"/>
          </rPr>
          <t>Hard Costs: $610,442
Replacement Reserves: $800,000
Operating Reserve: $64983
Vacancy Reserve: $53,600</t>
        </r>
      </text>
    </comment>
    <comment ref="M28" authorId="11" shapeId="0" xr:uid="{5231C677-7EE8-4349-8F4C-32BED330A312}">
      <text>
        <t>[Threaded comment]
Your version of Excel allows you to read this threaded comment; however, any edits to it will get removed if the file is opened in a newer version of Excel. Learn more: https://go.microsoft.com/fwlink/?linkid=870924
Comment:
    For two households over three months</t>
      </text>
    </comment>
    <comment ref="AB28" authorId="12" shapeId="0" xr:uid="{6F82005E-C3D0-4BDA-9E3B-72DD886CAD5D}">
      <text>
        <t>[Threaded comment]
Your version of Excel allows you to read this threaded comment; however, any edits to it will get removed if the file is opened in a newer version of Excel. Learn more: https://go.microsoft.com/fwlink/?linkid=870924
Comment:
    $346,333 in Capitalized replacement reserves</t>
      </text>
    </comment>
    <comment ref="AM28" authorId="13" shapeId="0" xr:uid="{703EF469-35ED-4602-8761-4FEB45E9110D}">
      <text>
        <t>[Threaded comment]
Your version of Excel allows you to read this threaded comment; however, any edits to it will get removed if the file is opened in a newer version of Excel. Learn more: https://go.microsoft.com/fwlink/?linkid=870924
Comment:
    Assumed debt, deferred developer fees, operating income, and other sources that developer did not further elaborate on</t>
      </text>
    </comment>
    <comment ref="AV28" authorId="14" shapeId="0" xr:uid="{919A0EC4-C417-42A8-AE28-7A2697C38D98}">
      <text>
        <t>[Threaded comment]
Your version of Excel allows you to read this threaded comment; however, any edits to it will get removed if the file is opened in a newer version of Excel. Learn more: https://go.microsoft.com/fwlink/?linkid=870924
Comment:
    City Bond Monitoring Fee</t>
      </text>
    </comment>
    <comment ref="AX28" authorId="15" shapeId="0" xr:uid="{B2663C20-7F3D-4178-9B22-82EA1E78BFAB}">
      <text>
        <t>[Threaded comment]
Your version of Excel allows you to read this threaded comment; however, any edits to it will get removed if the file is opened in a newer version of Excel. Learn more: https://go.microsoft.com/fwlink/?linkid=870924
Comment:
    8903</t>
      </text>
    </comment>
    <comment ref="O29" authorId="16" shapeId="0" xr:uid="{37336A71-3DE3-4A90-883C-3C2B9B4DE07D}">
      <text>
        <t>[Threaded comment]
Your version of Excel allows you to read this threaded comment; however, any edits to it will get removed if the file is opened in a newer version of Excel. Learn more: https://go.microsoft.com/fwlink/?linkid=870924
Comment:
    Architect, survey, phase I &amp; II, CAN/PNA, other enviro consultants, marketing rent-up, and construction mgmt. fees</t>
      </text>
    </comment>
    <comment ref="R29" authorId="17" shapeId="0" xr:uid="{51548ED0-4BCF-4AFE-AF9A-60D6B508CAC0}">
      <text>
        <t>[Threaded comment]
Your version of Excel allows you to read this threaded comment; however, any edits to it will get removed if the file is opened in a newer version of Excel. Learn more: https://go.microsoft.com/fwlink/?linkid=870924
Comment:
    Perm loan origination fee</t>
      </text>
    </comment>
    <comment ref="S29" authorId="18" shapeId="0" xr:uid="{69996E21-E52D-49DB-BFC1-349FE2FD8D37}">
      <text>
        <t>[Threaded comment]
Your version of Excel allows you to read this threaded comment; however, any edits to it will get removed if the file is opened in a newer version of Excel. Learn more: https://go.microsoft.com/fwlink/?linkid=870924
Comment:
    Taxes, insurance, PSA monitoring and servicing fees</t>
      </text>
    </comment>
    <comment ref="AM29" authorId="19" shapeId="0" xr:uid="{B08C1B93-5046-4A0C-8CD4-3FC4D3D71A8E}">
      <text>
        <t>[Threaded comment]
Your version of Excel allows you to read this threaded comment; however, any edits to it will get removed if the file is opened in a newer version of Excel. Learn more: https://go.microsoft.com/fwlink/?linkid=870924
Comment:
    Deferred developer fee</t>
      </text>
    </comment>
    <comment ref="R30" authorId="20" shapeId="0" xr:uid="{67F0835F-C89B-4E0E-9040-12B812771876}">
      <text>
        <t xml:space="preserve">[Threaded comment]
Your version of Excel allows you to read this threaded comment; however, any edits to it will get removed if the file is opened in a newer version of Excel. Learn more: https://go.microsoft.com/fwlink/?linkid=870924
Comment:
    Origination fee, PASS simple interest
</t>
      </text>
    </comment>
    <comment ref="AB30" authorId="21" shapeId="0" xr:uid="{5CD58E58-47D3-4A59-92B0-B0D956F1FC05}">
      <text>
        <t>[Threaded comment]
Your version of Excel allows you to read this threaded comment; however, any edits to it will get removed if the file is opened in a newer version of Excel. Learn more: https://go.microsoft.com/fwlink/?linkid=870924
Comment:
    Includes replacement reserves, operating reserves and construction mgmt fee for developer</t>
      </text>
    </comment>
    <comment ref="AM31" authorId="22" shapeId="0" xr:uid="{2D737B1B-25B1-4ACC-B4DF-B443E89EDCD3}">
      <text>
        <t>[Threaded comment]
Your version of Excel allows you to read this threaded comment; however, any edits to it will get removed if the file is opened in a newer version of Excel. Learn more: https://go.microsoft.com/fwlink/?linkid=870924
Comment:
    Lead paint remediation program grant</t>
      </text>
    </comment>
    <comment ref="AC33" authorId="2" shapeId="0" xr:uid="{E81AD6CA-DBE7-4F9F-87DB-859F2A0093FA}">
      <text>
        <r>
          <rPr>
            <sz val="9"/>
            <color indexed="81"/>
            <rFont val="Tahoma"/>
            <family val="2"/>
          </rPr>
          <t>Deduced from other expenses relative to total development cost</t>
        </r>
      </text>
    </comment>
    <comment ref="AC36" authorId="2" shapeId="0" xr:uid="{6FFE3D7E-CD41-4C0E-9C18-E18FB044A16F}">
      <text>
        <r>
          <rPr>
            <sz val="9"/>
            <color indexed="81"/>
            <rFont val="Tahoma"/>
            <family val="2"/>
          </rPr>
          <t>Deduced from other expenses relative to total development cost</t>
        </r>
      </text>
    </comment>
    <comment ref="AC37" authorId="2" shapeId="0" xr:uid="{4B737559-5899-4D62-A2CE-5493039AA9A0}">
      <text>
        <r>
          <rPr>
            <sz val="9"/>
            <color indexed="81"/>
            <rFont val="Tahoma"/>
            <family val="2"/>
          </rPr>
          <t>Deduced from other expenses relative to total development cost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7D42ACF-312F-4836-A560-75B559E15CD2}"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DD553C42-D755-4C5A-BE9B-17E9FC37866A}" name="WorksheetConnection_Raw Cost Data!$A$1:$AY$27" type="102" refreshedVersion="8" minRefreshableVersion="5">
    <extLst>
      <ext xmlns:x15="http://schemas.microsoft.com/office/spreadsheetml/2010/11/main" uri="{DE250136-89BD-433C-8126-D09CA5730AF9}">
        <x15:connection id="Range" autoDelete="1">
          <x15:rangePr sourceName="_xlcn.WorksheetConnection_RawCostDataA1AY27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<sst xmlns="http://schemas.openxmlformats.org/spreadsheetml/2006/main" count="1915" uniqueCount="701">
  <si>
    <t xml:space="preserve">This tool was created by Grounded Solutions Network in partnership with Enterprise Community Partners. </t>
  </si>
  <si>
    <t>Overview</t>
  </si>
  <si>
    <t>This tool is intended for users who want to customize assumptions in their assessment of preserving affordable housing properties.</t>
  </si>
  <si>
    <t>Color-coded tabs</t>
  </si>
  <si>
    <t>The tool has four project types: Multifamily Rental, Limited Equity Housing Cooperative (LEHC) (classified as homeownership), Multifamily Shared Equity Homeownership, and Single Family Shared Equity Homeownership.</t>
  </si>
  <si>
    <t>The tabs share many similarities with the primary difference between project types being the 'takeout', ie the final form of the project that will repay the acquisition/rehab financing. For example, the Multifamily Rental tab includes a 15-year operating pro forma, while the Multifamily and Single Family Shared Equity Homeownership tabs include home sale prices for each unit.</t>
  </si>
  <si>
    <t>Note that of the four project types, three are  'shared equity models' - a type of affordable housing model that ensures affordability in perpetuity due to affordability covenants and a resale formula. These are the LEHC and the two Shared Equity Homeownership project types.</t>
  </si>
  <si>
    <t>See the Background section in this tab to learn more about these model types.</t>
  </si>
  <si>
    <t>Users can input a variety of assumptions into each tab, and each tab can hold different assumptions, including unit count, affordability levels, income levels, project costs, and funding sources.</t>
  </si>
  <si>
    <t>The user's goal in each tab should be to identify the combination(s) of affordability levels and funding sources that lead to balanced Sources &amp; Uses and repayment of debt, representing a financially-sustainable project.</t>
  </si>
  <si>
    <t>See the Instructions section in this tab to learn how to use the model. It is also encouraged to watch the recording or reach out to Alex Cabral at acabral@groundedsolutions.org for further support.</t>
  </si>
  <si>
    <t>Link to recording:</t>
  </si>
  <si>
    <t>See the Glossary section in this tab if a term is unfamiliar or needs clarification.</t>
  </si>
  <si>
    <t>Fund Summary tab</t>
  </si>
  <si>
    <t>Once all projects are deemed suitable, the user can view the summary of the entire project portfolio (across all tabs) in the Fund Summary tab.</t>
  </si>
  <si>
    <t>The Fund Summary tab summarizes the number of units, costs, financing, and subsidy across all projects - this can be viewed as the costs incurred and funds needed to develop all units modeled in this portfolio.</t>
  </si>
  <si>
    <r>
      <t xml:space="preserve">All worksheets are locked to prevent unintentional changes to formulas and descriptors, though cells with blue font remain unlocked for user input. To make further modifications, </t>
    </r>
    <r>
      <rPr>
        <b/>
        <sz val="11"/>
        <color rgb="FF0070C0"/>
        <rFont val="Arial"/>
        <family val="2"/>
      </rPr>
      <t>users can "unprotect" the model with the password "preservation"</t>
    </r>
  </si>
  <si>
    <t>This is a generalized tool designed for exploratory analysis and instructional purposes; it is not intended to serve as a replacement for detailed modeling and due diligence for particular projects.</t>
  </si>
  <si>
    <t>Please note that this model may contain errors. Feel free to customize the model as you see fit, and if you encounter errors or have questions, please reach out to Alex Cabral at acabral@groundedsolutions.org</t>
  </si>
  <si>
    <t>Background</t>
  </si>
  <si>
    <t>All projects can accommodate:</t>
  </si>
  <si>
    <t>-0-4 bedroom units at AMI levels of 50%, 60%, 80%, 100%, 120%, and Market rate</t>
  </si>
  <si>
    <t>- Funding types: Acquisiton/Rehab loan (also known as a construction or bridge loan), Perm loan (for MF Rental and LEHC projects), three types of subordinate debt (available at different development phases and with differing repayment structures), rehab tax credits, and grant funds</t>
  </si>
  <si>
    <t>- For MF Rental and LEHC: Rental operating assumptions for a 15-year period, with up to ten years of interest-only debt during the Perm/operating phase.</t>
  </si>
  <si>
    <t>- For Shared Equity Homeownership projects: Affordable home sale and mortgage assumptions</t>
  </si>
  <si>
    <r>
      <t xml:space="preserve">Projects </t>
    </r>
    <r>
      <rPr>
        <u/>
        <sz val="11"/>
        <color theme="1"/>
        <rFont val="Arial"/>
        <family val="2"/>
      </rPr>
      <t>do not</t>
    </r>
    <r>
      <rPr>
        <sz val="11"/>
        <color theme="1"/>
        <rFont val="Arial"/>
        <family val="2"/>
      </rPr>
      <t xml:space="preserve"> include: an operating pro forma for the Acq/Rehab phase. An operating pro forma is only provided for the stabilized/perm phase in the MF Rental and LEHC projects.</t>
    </r>
  </si>
  <si>
    <t>Multifamily Rental Project</t>
  </si>
  <si>
    <t>This tab is modeled for a property that requires funding to be acquired and rehabbed, with plans to operate the property as a long-term rental property.</t>
  </si>
  <si>
    <t>It is assumed that the property is occupied and includes line items for tenant relocation fees in the Acq/Rehab Cost budget.</t>
  </si>
  <si>
    <t>Upon completion of the Acq/Rehab phase (typically 1-3 years), any Acq/Rehab loans are refinaced with a Perm loan and the operations of the stabilized property are represented in years 1-15 of the Operating Pro Forma table.</t>
  </si>
  <si>
    <t>Limited Equity Housing Cooperative (LEHC)</t>
  </si>
  <si>
    <t>This tab is modeled for a property that requires funding to be acquired and rehabbed, with plans to operate the property as a limited equity housing cooperative.</t>
  </si>
  <si>
    <t>The property can convert to an LEHC immediately upon acquisition, or convert through the Acq/Rehab phase (typically 1-3 years).</t>
  </si>
  <si>
    <t>Upon completion of the Acq/Rehab phase, any Acq/Rehab loans are refinaced with a Blanket perm loan to the coop (which must be in existence at this point) and the operations of the stabilized property are represented in years 1-15 of the Operating Pro Forma table.</t>
  </si>
  <si>
    <t>See Glossary section below for more information on this project type.</t>
  </si>
  <si>
    <t>Multifamily Shared Equity Homeownership</t>
  </si>
  <si>
    <t>This tab is modeled for a property that requires funding to be acquired and rehabbed, with plans to sell the units to individual qualified homebuyers.</t>
  </si>
  <si>
    <t>It is assumed that the property is occupied and includes line items for tenant relocation fees in the Acq/Rehab Cost budget. A reminder that there is no operating pro forma for this interim rental period.</t>
  </si>
  <si>
    <t>Upon completion of the Acq/Rehab phase, any Acq/Rehab loans are repaid through individual mortgages to qualified homebuyers.</t>
  </si>
  <si>
    <t>The model includes a recommendation for the maximum mortgage loan and initial sales price, however, local market knowledge is required to determine whether these amounts are reasonable and feasible for qualified homebuyers.</t>
  </si>
  <si>
    <t>Single Family Shared Equity Homeownership</t>
  </si>
  <si>
    <t>This tab is modeled for a single property that requires funding to be acquired and rehabbed, with plans to sell the unit to a qualified homebuyer.</t>
  </si>
  <si>
    <t>It is assumed that the property is occupied and includes line items for a tenant relocation fees in the Acq/Rehab Cost budget. A reminder that there is no operating pro forma for this interim rental period.</t>
  </si>
  <si>
    <t>Upon completion of the Acq/Rehab phase, any Acq/Rehab loans are repaid through an individual mortgage to the qualified homebuyer.</t>
  </si>
  <si>
    <t>Instructions</t>
  </si>
  <si>
    <r>
      <rPr>
        <b/>
        <sz val="11"/>
        <color theme="1"/>
        <rFont val="Arial"/>
        <family val="2"/>
      </rPr>
      <t xml:space="preserve">Income Limits Tab - </t>
    </r>
    <r>
      <rPr>
        <sz val="11"/>
        <color theme="1"/>
        <rFont val="Arial"/>
        <family val="2"/>
      </rPr>
      <t xml:space="preserve"> In the Income Limits tab, fill in/update the respective rent and income limits for the region of focus. These can be current limits, or ideally, projected limits for the time when the property is stabilized/ready for sale.</t>
    </r>
  </si>
  <si>
    <r>
      <rPr>
        <b/>
        <sz val="11"/>
        <color theme="1"/>
        <rFont val="Arial"/>
        <family val="2"/>
      </rPr>
      <t>Unit &amp; Affordability Mix table -</t>
    </r>
    <r>
      <rPr>
        <sz val="11"/>
        <color theme="1"/>
        <rFont val="Arial"/>
        <family val="2"/>
      </rPr>
      <t xml:space="preserve"> Using the Multifamily Rental tab as an example focus, on the Unit &amp; Affordability Mix table first.</t>
    </r>
  </si>
  <si>
    <t>Make sure to fill in/update the Scenario Selection cell (J3) to a "1".</t>
  </si>
  <si>
    <t>In the Unit &amp; Affordability Mix table, fill in/update the Scenario 1 column (H8:H37) with the ideal unit count and affordability levels (rental or homeownership) for the project.</t>
  </si>
  <si>
    <t>If there are multiple scenarios in mind, also fill in/update Scenarios 2 (I8:I37) and 3 (J8:J37).</t>
  </si>
  <si>
    <t>Feel free to make notes describing the Scenarios in cells H6:J6.</t>
  </si>
  <si>
    <t>Fill in/Update the blue cells in the Appraised Value column with the estimated market value of the unit once complete. This will be used to calculate the size of the Perm debt or the costs to the future homeowner.</t>
  </si>
  <si>
    <r>
      <rPr>
        <b/>
        <sz val="11"/>
        <color theme="1"/>
        <rFont val="Arial"/>
        <family val="2"/>
      </rPr>
      <t xml:space="preserve"> Acquisition &amp; Rehab Costs table - </t>
    </r>
    <r>
      <rPr>
        <sz val="11"/>
        <color theme="1"/>
        <rFont val="Arial"/>
        <family val="2"/>
      </rPr>
      <t>Next, scroll down [in the same tab] and focus on the Acquisition &amp; Rehab Costs table. This table represents the costs the project will incur during the acquisition and rehab phase.</t>
    </r>
  </si>
  <si>
    <t>Fill in/Update the blue cells in columns D, F and I (the cells in columns D and F influencing calculations in column I).</t>
  </si>
  <si>
    <t>Use the last two tabs - the Raw Cost Data and Cost Summary Tabs - to influence your cost inputs. These tabs reflect a sample of preservation projects completed across California between 2019 and 2025, and should be seen as point-in-time references only. The data is intended to inform a "ballpark estimate" of what a typical project might look like within the four broad submarkets that projects were organized into, and should not be relied upon as a direct cost comparison for future projects. The most reliable and comparable data are those that are aggregated at the "purchase price," "hard cost," and "soft cost" levels; cost subcomponents are intended to give a very general idea of what have been the typical cost drivers of these projects.</t>
  </si>
  <si>
    <t>Note the Financing Costs line - cell I73 is a manual input with an estimate of what should be in that cell shown to the left in cell F70. This is to avoid circular references and the estimate will change as costs and funding sources are adjusted, so you may need to return to this cell to update again before finalizing.</t>
  </si>
  <si>
    <r>
      <rPr>
        <b/>
        <sz val="11"/>
        <color theme="1"/>
        <rFont val="Arial"/>
        <family val="2"/>
      </rPr>
      <t xml:space="preserve">Acq+Rehab Funding Source - </t>
    </r>
    <r>
      <rPr>
        <sz val="11"/>
        <color theme="1"/>
        <rFont val="Arial"/>
        <family val="2"/>
      </rPr>
      <t>Next, scroll to the right on the same tab and focus on the Acq+Rehab Funding Sources table. This table represents the funding sources that will fund the costs in the Acq/Rehab phase.</t>
    </r>
  </si>
  <si>
    <t>Make sure to fill in/update the Scenario Selection cell (P42) to a "1".</t>
  </si>
  <si>
    <r>
      <t xml:space="preserve">In the Loan to Cost line (cell N46), estimate the LTC % to size the Acq/Rehab Senior Loan. </t>
    </r>
    <r>
      <rPr>
        <sz val="11"/>
        <color rgb="FF0070C0"/>
        <rFont val="Arial"/>
        <family val="2"/>
      </rPr>
      <t>This % will likely change,</t>
    </r>
    <r>
      <rPr>
        <sz val="11"/>
        <color theme="1"/>
        <rFont val="Arial"/>
        <family val="2"/>
      </rPr>
      <t xml:space="preserve"> estimate a % for now.</t>
    </r>
  </si>
  <si>
    <t>Go down the Scenario 1 column (N) and input the estimated/known terms for various funding sources.</t>
  </si>
  <si>
    <t>If there are multiple scenarios in mind, also fill in/update Scenarios 2 (O46:O107) and 3 (P46:P107).</t>
  </si>
  <si>
    <t>Feel free to make notes describing the Scenarios in cells N44:P44.</t>
  </si>
  <si>
    <t xml:space="preserve">Note there are 3 types of Subordinate Loans in this model: </t>
  </si>
  <si>
    <t>#1 first appears in the Acq/Rehab phase. It can be paid off alongside repayment of the construction loan (if its Loan Term matches the Acq/Rehab Senior Loan term) or can remain in place through the Perm phase (if the Loan Term is longer than the Senior Loan).</t>
  </si>
  <si>
    <t xml:space="preserve"> #2, #3, and #4 first appears in the Acq/Rehab phase but payments do not begin until the Perm/Stabilized phase. A 0% interest rate is assumed for the Acq/Rehab phase and the interest is accrued and capitalized. Repayment is structured with a residual receipts payment plan, where repayment during the Perm/Stabilized phase is the greater of 1) annual interest charge or 2) a % of the project cash flows. This means that the principal balance will always remain, in most cases it is eventually forgiven when the compliance period is met.</t>
  </si>
  <si>
    <t>#5 first appears in the Perm/Stabilized phase and has a fixed P&amp;I payment throughout the Perm/Stabilized phase.</t>
  </si>
  <si>
    <t>For Multifamily Rental and Limited Equity Housing Coop</t>
  </si>
  <si>
    <t xml:space="preserve">5) </t>
  </si>
  <si>
    <r>
      <rPr>
        <b/>
        <sz val="11"/>
        <color theme="1"/>
        <rFont val="Arial"/>
        <family val="2"/>
      </rPr>
      <t>Operating Assumptions table -</t>
    </r>
    <r>
      <rPr>
        <sz val="11"/>
        <color theme="1"/>
        <rFont val="Arial"/>
        <family val="2"/>
      </rPr>
      <t xml:space="preserve"> Next, scroll up and to the right to the Operating Assumptions table. This represents the ongoing costs of the project once stabilized.</t>
    </r>
  </si>
  <si>
    <t>Fill in/Update the cells with the blue text for the annual cost esalations and the annual costs for Year 1 (stabilized).</t>
  </si>
  <si>
    <r>
      <rPr>
        <b/>
        <sz val="11"/>
        <color theme="1"/>
        <rFont val="Arial"/>
        <family val="2"/>
      </rPr>
      <t xml:space="preserve">Permanent Funding Sources table </t>
    </r>
    <r>
      <rPr>
        <sz val="11"/>
        <color theme="1"/>
        <rFont val="Arial"/>
        <family val="2"/>
      </rPr>
      <t>- Next, scroll down to the Permanent Funding Sources table. This represents the funding sources that will fund the project's operations going forward.</t>
    </r>
  </si>
  <si>
    <t>Make sure to fill in/update the Scenario Selection cell (T25) to a "1".</t>
  </si>
  <si>
    <r>
      <t xml:space="preserve">In the Loan to Value line (cell T29), estimate the LTV % to size the Perm Senior Loan. </t>
    </r>
    <r>
      <rPr>
        <sz val="11"/>
        <color rgb="FF0070C0"/>
        <rFont val="Arial"/>
        <family val="2"/>
      </rPr>
      <t>This % will likely change,</t>
    </r>
    <r>
      <rPr>
        <sz val="11"/>
        <color theme="1"/>
        <rFont val="Arial"/>
        <family val="2"/>
      </rPr>
      <t xml:space="preserve"> estimate a % for now.</t>
    </r>
  </si>
  <si>
    <t>Go down the Scenario 1 column (T) and input the estimated/known terms for various funding sources.</t>
  </si>
  <si>
    <t>If there are multiple scenarios in mind, also fill in/update Scenarios 2 (U29:U74) and 3 (V29:V74).</t>
  </si>
  <si>
    <t>Feel free to make notes describing the Scenarios in cells T27:V27.</t>
  </si>
  <si>
    <t>Notice that cells R37:T39 compare the Perm Senior Loan amounts based on LTV vs. DSCR. The model defaults to sizing the loan to not exceed the DSCR covenant, and the LTV-based loan amount is included so the user is aware of the $ difference.</t>
  </si>
  <si>
    <t>Note that you can make some changes to Sub Loan #1 (if it endures past the Acq/Rehab phase), no changes to Sub Loans #2-#4 (since terms were decided in the Acq/Rehab phase), and Sub Loan #5 is new in this phase and will require inputs.</t>
  </si>
  <si>
    <t>This model provides the developer with an additional opportunity to infuse the project with capital at the stabilized phase:</t>
  </si>
  <si>
    <t>Additional Sponsor Equity: a one-time infusion of cash (not repaid) in a Year of your choosing</t>
  </si>
  <si>
    <t>Ongoing Subsidy: an annual infusion of cash (not repaid) beginning the Year of your choosing</t>
  </si>
  <si>
    <r>
      <rPr>
        <b/>
        <sz val="11"/>
        <color theme="1"/>
        <rFont val="Arial"/>
        <family val="2"/>
      </rPr>
      <t>15 Yr Operating Pro Forma table -</t>
    </r>
    <r>
      <rPr>
        <sz val="11"/>
        <color theme="1"/>
        <rFont val="Arial"/>
        <family val="2"/>
      </rPr>
      <t xml:space="preserve"> Next, scroll left to the 15 Yr Operating Pro Forma table.</t>
    </r>
  </si>
  <si>
    <t>At the bottom of the table, fill in the cells with blue text with the expected BOY Operating Reserve balance and annual spendown of the Operating Reserve and Replacement Reserve.</t>
  </si>
  <si>
    <t>Rows 45-58 keep a running tab of each reserve - Replacement Reserve amounts are based on the Year 1 amount * annual escalation %. Operating Reserve amounts are based on # of months coverage desired * Opex + annual debt service.</t>
  </si>
  <si>
    <t>A Note on the Operating Reserve Mechanics</t>
  </si>
  <si>
    <t>The Operating Reserve first appears in the Acquisition &amp; Rehab costs table.</t>
  </si>
  <si>
    <t xml:space="preserve">The user is asked to define the # of months of coverage required during the Acq+rehab phase (ex – 6 months), and the coverage is estimated by calculating the annual cost of interest on the Acq+Rehab senior and subordinate loans (not inclu. residual receipt loans due to their unique repayment structure) plus the property’s annual operating expenses [as stabilized in Year 1]. </t>
  </si>
  <si>
    <t xml:space="preserve">In the Perm/Stabilized phase, the Operating Reserve appears in the Operating Assumptions and Operating Pro Forma tables, sometimes as ‘Opex Reserve.’ </t>
  </si>
  <si>
    <t>The user is asked to input the # of months of coverage required during the Perm phase (ex 6 months) AND is asked for the BOY (Year 1) Opex Reserve Balance. This assumes that some of the Opex reserve has been used during the acq+rehab period and is therefore lower in the perm phase and must be manually input.</t>
  </si>
  <si>
    <t xml:space="preserve">Some lenders, though not all, allow the borrower to draw on the Opex reserves in order to cover the initial years of operation and debt service; there is a toggle built to the left of the Pro Forma table that allows for a ‘yes or no’ to allow for this. </t>
  </si>
  <si>
    <t>If ‘yes,’ should there be sufficient funds in the operating reserve to support it, the model will close any shortfalls in coverage of opex and senior+subordinate debt service by drawing on the operating reserve. Once there is sufficient cash flow to service all debt, with some cash flow remaining, the operating reserve will automatically replenish annually to ensure that the property maintains the required # of months of coverage at the beginning of each year. </t>
  </si>
  <si>
    <r>
      <rPr>
        <b/>
        <u/>
        <sz val="11"/>
        <color theme="1"/>
        <rFont val="Arial"/>
        <family val="2"/>
      </rPr>
      <t>For LEHC projects</t>
    </r>
    <r>
      <rPr>
        <b/>
        <sz val="11"/>
        <color theme="1"/>
        <rFont val="Arial"/>
        <family val="2"/>
      </rPr>
      <t>: Member Carrying Charge / Affordability Calculator table -</t>
    </r>
    <r>
      <rPr>
        <sz val="11"/>
        <color theme="1"/>
        <rFont val="Arial"/>
        <family val="2"/>
      </rPr>
      <t xml:space="preserve"> Next, scroll down and review the Member Carrying Charge table.</t>
    </r>
  </si>
  <si>
    <t>This table requires one input: the front-end ratio % (the maximum % of income the member is expected to spend on housing costs)</t>
  </si>
  <si>
    <t>This result is the $ amount used to calculate the members' carrying charge, in other words, the coop's monthly income.</t>
  </si>
  <si>
    <t>This table also provides a quick calculation on whether or not the members can afford to take on a share loan. Row 76 provides this calculation with additional explanation in the pop-up text box.</t>
  </si>
  <si>
    <t>It is strongly recommended that additional analysis is completed before including share loans in the LEHC funding structure, even if some members can 'afford' it.</t>
  </si>
  <si>
    <r>
      <rPr>
        <b/>
        <sz val="11"/>
        <color theme="1"/>
        <rFont val="Arial"/>
        <family val="2"/>
      </rPr>
      <t>Sources &amp; Uses Check-</t>
    </r>
    <r>
      <rPr>
        <sz val="11"/>
        <color theme="1"/>
        <rFont val="Arial"/>
        <family val="2"/>
      </rPr>
      <t xml:space="preserve"> Now that all cells with blue text have been filled in, scroll to the far left to the Sources &amp; Uses Summary table.</t>
    </r>
  </si>
  <si>
    <t>In rows 32 and 47, you will identify whether each phase of the project (Acq/Rehab and Perm) has a surplus (green) or deficit (red).</t>
  </si>
  <si>
    <r>
      <rPr>
        <b/>
        <sz val="11"/>
        <color theme="1"/>
        <rFont val="Arial"/>
        <family val="2"/>
      </rPr>
      <t>DSCR Check -</t>
    </r>
    <r>
      <rPr>
        <sz val="11"/>
        <color theme="1"/>
        <rFont val="Arial"/>
        <family val="2"/>
      </rPr>
      <t xml:space="preserve"> Also scroll to the 15 Yr Operating Pro Forma table and verify that Senior DSCR Check (27) and Total DSCR Check (34) are both in compliance with their respective DSCR covenants (green).</t>
    </r>
  </si>
  <si>
    <t>The goal is for the Sources &amp; Uses is to breakeven ($0) or have a small surplus. If there is a deficit, you will need to adjust your funding sources.</t>
  </si>
  <si>
    <t>You can either 1) make adjustments to Scenario 1 or 2) fill in/update the numbers in Scenarios 2 and 3 across all tables.</t>
  </si>
  <si>
    <t>To see the model with numbers from Scenarios 2 or 3, change the number in the Scenario Selection cell (in each of the tables) to a 2 or 3 (rather than 1).</t>
  </si>
  <si>
    <t>Continue to make adjustments to funding sources until the project 'pencils.' Typically, you will need to reduce your Acq/Rehab Senior Loan LTC and increase the grant $ amounts.</t>
  </si>
  <si>
    <t>For Multifamily and Single Family Shared Equity Homeownership</t>
  </si>
  <si>
    <r>
      <rPr>
        <b/>
        <sz val="11"/>
        <color theme="1"/>
        <rFont val="Arial"/>
        <family val="2"/>
      </rPr>
      <t>Initial Sales Price table -</t>
    </r>
    <r>
      <rPr>
        <sz val="11"/>
        <color theme="1"/>
        <rFont val="Arial"/>
        <family val="2"/>
      </rPr>
      <t xml:space="preserve"> Next, scroll up and to the right to the Initial Sales Price table. This represents the maximum sale price of each home per their respective AMI level.</t>
    </r>
  </si>
  <si>
    <t>Fill in/Update the cells with blue text in column S per market data. This will result in estimated mortgage loan amounts and home sale prices.</t>
  </si>
  <si>
    <r>
      <rPr>
        <b/>
        <sz val="11"/>
        <color theme="1"/>
        <rFont val="Arial"/>
        <family val="2"/>
      </rPr>
      <t>Resale Price Projections table -</t>
    </r>
    <r>
      <rPr>
        <sz val="11"/>
        <color theme="1"/>
        <rFont val="Arial"/>
        <family val="2"/>
      </rPr>
      <t xml:space="preserve"> Next, scroll down to the Resale Price Projections table. </t>
    </r>
  </si>
  <si>
    <t>This table includes figures representing the home/homeowner's future based on a fixed-rate resale formula: max resale price, equity returned to the homeowner, and future homeonwer AMI%  needed to afford this home</t>
  </si>
  <si>
    <t>Fill in/Update the cells with blue text in column S per market data and the pre-determined resale formula %s. The key rows are 81-86, and will tell you whether or not this home remains affordable to homeowners at the initial AMI % level.</t>
  </si>
  <si>
    <t>In rows 30 and 44, you will identify whether each phase of the project (Acq/Rehab and Disposition) has a surplus (green) or deficit (red).</t>
  </si>
  <si>
    <t>Helpful Tips</t>
  </si>
  <si>
    <t>- To identify which other cells are using the selected cell in their formula, go to Formulas header -&gt; Formula Auditing section -&gt; Trace Dependents</t>
  </si>
  <si>
    <t>- To analyze how a formula is being calculated, as in, break down the calculation, go to Formulas header -&gt; Formula Auditing section -&gt; Evaluate Formula</t>
  </si>
  <si>
    <t>Glossary</t>
  </si>
  <si>
    <t>An LEHC is considered a shared equity housing model - a type of affordable housing that balances the benefits of individual ownership and community benefit.</t>
  </si>
  <si>
    <t>This is documented in the LEHC bylaws and other legal documents, which include affordability requirements, resale formula, and governance structure.</t>
  </si>
  <si>
    <t>An LEHC is structured in that the LEHC entity owns the property, and the coop members own shares of the LEHC entity. Coop members are considered the owners of the LEHC, "member-owners," and must purchase a share in order to reside in the unit.</t>
  </si>
  <si>
    <t>Coop members govern the property - there is a coop Board that convenes the coop members regularly for democratic decision-making on issues related to the coop, the property, and its members.</t>
  </si>
  <si>
    <t>LEHC share prices can range from $1,000 to $50,000+ per member. Share prices are based on i) the members' financial ability to purchase the shares and ii) the wealth-building goals of the coop.</t>
  </si>
  <si>
    <t>When a coop member moves out of the coop and sells their share(s), the member moving in purchases the share at the pre-determined resale price, ensuring lasting affordability.</t>
  </si>
  <si>
    <t>There are benefits to pricing share loans at a higher value, including i) member wealth-building opportunity (since the share increases in value over time and can generate a return on investment when sold) and ii) reduction in the $ amount of the Perm Senior Blanket Loan the coop must take on.</t>
  </si>
  <si>
    <t>However, there are also barriers that come with a higher share price, including i) reduced affordability (since not all AMI levels will qualify for a share loan or be able to afford one) and ii) share loans are a rare consumer loan product that are challenging to find in many markets.</t>
  </si>
  <si>
    <t>Depending on the LEHC share structure, the coop may be referred to as a 'no equity' or 'low equity' coop in lamens terms.</t>
  </si>
  <si>
    <t>This model does not include comprehensive analysis on the suggested share price nor the share resale formula. Additional modeling is recommended.</t>
  </si>
  <si>
    <t>Shared equity is an affordable housing model that balances the benefits of individual ownership and community benefit.</t>
  </si>
  <si>
    <t>This is demonstrated through homeowners' opportunity to access equity through homeownership, the shared equity program established to steward and protect the community asset, and the homeowner and community support provided through the shared equity program.</t>
  </si>
  <si>
    <t>Multifamily shared equity homeownership units most commonly take the form of condos or townhomes, fully owned by the homeowner and stewarded by a shared equity program through a deed restriction.</t>
  </si>
  <si>
    <t>The deed restriction is a legal document attached to the Deed of Trust that outlines affordability requirements, resale formula, and right of first refusal for the shared equity program, among other terms.</t>
  </si>
  <si>
    <t xml:space="preserve">(A deed restriction is often the preferred legal document over a ground lease for multifamily homeownership, and if the Grounded Solutions Template is used, Fannie Mae and Freddie Mac have approved these mortgages for purchase on the secondary market.) </t>
  </si>
  <si>
    <t>When a shared equity homeowner sells their home, the sale price is pre-determined per the resale formula in the legal document, ensuring lasting affordability.</t>
  </si>
  <si>
    <t xml:space="preserve">A common resale formula, a fixed-rate formula (included in this model), may state that a homeowner earns a percentage annual increase in the value of the home. </t>
  </si>
  <si>
    <t xml:space="preserve">For example, if a homebuyer purchases a $200k home with a 2% fixed rate resale formula and sells the home after 10 years, the homeowner can sell the home for $244k. </t>
  </si>
  <si>
    <t>It is likely that the appraised value of this home is higher than its sale price, given the 10 years of appreciation, yet the new homeowner still benefits from the affordable price, the prior homeowner walks away with additional equity, and the stewarding shared equity program does not need to raise additional subsidy to keep the home affordable.</t>
  </si>
  <si>
    <t>Single family shared equity homeownership units are single family homes. The improvements (home) is owned by the homeowner and the land is owned by a shared equity program through a ground lease.</t>
  </si>
  <si>
    <t>The ground lease is a legal document attached to the Deed of Trust that outlines affordability requirements, resale formula, and right of first refusal for the shared equity program, among other terms.</t>
  </si>
  <si>
    <t xml:space="preserve">(A ground lease is often the preferred legal document over a deed restriction for single family homeownership, and if the Grounded Solutions Template is used, Fannie Mae and Freddie Mac have approved these mortgages for purchase on the secondary market.) </t>
  </si>
  <si>
    <t>Portfolio Summary</t>
  </si>
  <si>
    <t>Project Types and Counts</t>
  </si>
  <si>
    <t># of Projects</t>
  </si>
  <si>
    <t>Multifamily Rental</t>
  </si>
  <si>
    <t>Limited Equity Cooperative</t>
  </si>
  <si>
    <t>Multifamily Shared Equity HO (ie condos)</t>
  </si>
  <si>
    <t>Single Family Shared Equity HO</t>
  </si>
  <si>
    <t>Subsidy Budget</t>
  </si>
  <si>
    <t>Subsidy Remaining</t>
  </si>
  <si>
    <t>TOTALS</t>
  </si>
  <si>
    <t>ALL PROJECTS</t>
  </si>
  <si>
    <t>Unit Count and Affordability</t>
  </si>
  <si>
    <t># of Units</t>
  </si>
  <si>
    <t># of 50% AMI units</t>
  </si>
  <si>
    <t># of 60% AMI units</t>
  </si>
  <si>
    <t># of 80% AMI units</t>
  </si>
  <si>
    <t># of 100% AMI units</t>
  </si>
  <si>
    <t># of 120% AMI units</t>
  </si>
  <si>
    <t># of Market Rate units</t>
  </si>
  <si>
    <t>Costs and Financing</t>
  </si>
  <si>
    <t>TDC per Unit</t>
  </si>
  <si>
    <t>Total Portfolio-wide TDC</t>
  </si>
  <si>
    <t>Average Acquisition/Rehab Debt per Unit (Senior + Sub)</t>
  </si>
  <si>
    <t>Portfolio-wide Acq/Rehab Debt</t>
  </si>
  <si>
    <t>Average Perm Debt Per Unit (Senior + Sub)</t>
  </si>
  <si>
    <t>Portfolio-wide Perm Debt</t>
  </si>
  <si>
    <t>Sale Proceeds Per Unit</t>
  </si>
  <si>
    <t>Portfolio-wide Sale Proceeds</t>
  </si>
  <si>
    <t>Subsidy Per Unit</t>
  </si>
  <si>
    <t>Total Portfolio-wide Subsidy Need</t>
  </si>
  <si>
    <t>MultiFamily Rental Project #1</t>
  </si>
  <si>
    <t>Include</t>
  </si>
  <si>
    <t>Yes</t>
  </si>
  <si>
    <t>KEY</t>
  </si>
  <si>
    <t>Unit and Affordability Mix</t>
  </si>
  <si>
    <t>Scenario Selection:</t>
  </si>
  <si>
    <t>Operating Assumptions</t>
  </si>
  <si>
    <t>15 Yr Operating Pro Forma [Stabilized]</t>
  </si>
  <si>
    <t>Flat</t>
  </si>
  <si>
    <t>Applicable to all phases</t>
  </si>
  <si>
    <t>Item</t>
  </si>
  <si>
    <t>Year 0</t>
  </si>
  <si>
    <t>No</t>
  </si>
  <si>
    <t>Base</t>
  </si>
  <si>
    <t>Applicable to Acquisition/Rehab phase</t>
  </si>
  <si>
    <t>ACTIVE SCENARIO</t>
  </si>
  <si>
    <t>Project AMI Analysis</t>
  </si>
  <si>
    <t>Rent Escalation (Annual %)</t>
  </si>
  <si>
    <t>INCOME</t>
  </si>
  <si>
    <t>Applicable to Perm phase</t>
  </si>
  <si>
    <t>Description:</t>
  </si>
  <si>
    <t>All 60% AMI</t>
  </si>
  <si>
    <t>Mix of 60 and 80</t>
  </si>
  <si>
    <t>Some market rate</t>
  </si>
  <si>
    <t>Count of Units at AMI Level</t>
  </si>
  <si>
    <t>Vacancy Rate (Annnual %)</t>
  </si>
  <si>
    <t>Annual Gross Revenue</t>
  </si>
  <si>
    <t>Highlighted for your attention</t>
  </si>
  <si>
    <t># of this Type of Unit</t>
  </si>
  <si>
    <t>Unit Type 
[for reference]</t>
  </si>
  <si>
    <t># Bedrooms</t>
  </si>
  <si>
    <t>AMI %</t>
  </si>
  <si>
    <t>Appraised Value
 (As Complete)</t>
  </si>
  <si>
    <t>Monthly Rent</t>
  </si>
  <si>
    <t>Bad Debt Rate (Annual %)</t>
  </si>
  <si>
    <t>Less: Vacancy Rate</t>
  </si>
  <si>
    <t>Requires a manual input</t>
  </si>
  <si>
    <t>Blue Text</t>
  </si>
  <si>
    <t>0bd-50</t>
  </si>
  <si>
    <t>Expense Escalation (Annual %)</t>
  </si>
  <si>
    <t>Less: Bad Debt / Unpaid Rent</t>
  </si>
  <si>
    <t>Do not change, contains formula</t>
  </si>
  <si>
    <t>Black Text</t>
  </si>
  <si>
    <t>0bd-60</t>
  </si>
  <si>
    <t># Months Operating Reserve Coverage</t>
  </si>
  <si>
    <t>Effective Gross Rental Income</t>
  </si>
  <si>
    <t>0bd-80</t>
  </si>
  <si>
    <t>0bd-100</t>
  </si>
  <si>
    <t>Year 1 Expense Estimates:</t>
  </si>
  <si>
    <t>EXPENSES</t>
  </si>
  <si>
    <t>Sources &amp; Uses Summary</t>
  </si>
  <si>
    <t>0bd-120</t>
  </si>
  <si>
    <t>Market Rate</t>
  </si>
  <si>
    <t>Utilities (per unit per year)</t>
  </si>
  <si>
    <t>Utilities</t>
  </si>
  <si>
    <t>Acquisition/Rehab Uses</t>
  </si>
  <si>
    <t>$ Amount</t>
  </si>
  <si>
    <t>$/Unit</t>
  </si>
  <si>
    <t>% of Total Uses</t>
  </si>
  <si>
    <t>0bd-mrkt</t>
  </si>
  <si>
    <t>AMI Average</t>
  </si>
  <si>
    <t>Insurance (per unit per year)</t>
  </si>
  <si>
    <t>Insurance</t>
  </si>
  <si>
    <t>Purchase Price</t>
  </si>
  <si>
    <t>1bd-50</t>
  </si>
  <si>
    <t>Share of units less than or equal to 80% AMI</t>
  </si>
  <si>
    <t>Tax rate Years 1-2, Pre-WTE (increases 2%/yr)</t>
  </si>
  <si>
    <t>Taxes</t>
  </si>
  <si>
    <t>Hard Costs</t>
  </si>
  <si>
    <t>1bd-60</t>
  </si>
  <si>
    <t>Tax rate Years 3-15, Post-WTE (increases 2%/yr)</t>
  </si>
  <si>
    <t>Maintenance &amp; Repair Expense</t>
  </si>
  <si>
    <t>Soft Costs</t>
  </si>
  <si>
    <t>1bd-80</t>
  </si>
  <si>
    <t>Maintenance &amp; Repair (per unit per year)</t>
  </si>
  <si>
    <t>G&amp;A</t>
  </si>
  <si>
    <t>Total Acq/Rehab Uses</t>
  </si>
  <si>
    <t>1bd-100</t>
  </si>
  <si>
    <t>G&amp;A (per unit per year)</t>
  </si>
  <si>
    <t>Property Mgmt Fees</t>
  </si>
  <si>
    <t>1bd-120</t>
  </si>
  <si>
    <t>Property Mgmt Fees (annual % of EGRI)</t>
  </si>
  <si>
    <t>Turnover</t>
  </si>
  <si>
    <t>Acquisition/Rehab Sources</t>
  </si>
  <si>
    <t>$$ Amount</t>
  </si>
  <si>
    <t>% of Total Sources</t>
  </si>
  <si>
    <t>1bd-mrkt</t>
  </si>
  <si>
    <t>Turnover (per unit per year)</t>
  </si>
  <si>
    <t>Replacement Reserve Contribution</t>
  </si>
  <si>
    <t>2bd-50</t>
  </si>
  <si>
    <t>Replacement Reserves (per unit per year)</t>
  </si>
  <si>
    <t>Other</t>
  </si>
  <si>
    <t>2bd-60</t>
  </si>
  <si>
    <t>Other (per unit per year)</t>
  </si>
  <si>
    <t>Total Operating Expenses</t>
  </si>
  <si>
    <t>2bd-80</t>
  </si>
  <si>
    <t>2bd-100</t>
  </si>
  <si>
    <t>Net Operating Income</t>
  </si>
  <si>
    <t>2bd-120</t>
  </si>
  <si>
    <t>2bd-mrkt</t>
  </si>
  <si>
    <t>Perm Funding Sources</t>
  </si>
  <si>
    <t>OPERATING SUBSIDY</t>
  </si>
  <si>
    <t>3bd-50</t>
  </si>
  <si>
    <t>3bd-60</t>
  </si>
  <si>
    <t>Standard</t>
  </si>
  <si>
    <t>Low Debt $</t>
  </si>
  <si>
    <t>High interest rate</t>
  </si>
  <si>
    <t>3bd-80</t>
  </si>
  <si>
    <t>Perm Senior Loan</t>
  </si>
  <si>
    <t>Total Operating Subsidy</t>
  </si>
  <si>
    <t>3bd-100</t>
  </si>
  <si>
    <t>Loan to Value %</t>
  </si>
  <si>
    <t>Total Acqu/Rehab Sources</t>
  </si>
  <si>
    <t>3bd-120</t>
  </si>
  <si>
    <t>Interest Rate</t>
  </si>
  <si>
    <t>Fill CF gaps w/ Opex Reserve? --&gt;</t>
  </si>
  <si>
    <t>OPERATING RESERVE DRAW</t>
  </si>
  <si>
    <t>3bd-mrkt</t>
  </si>
  <si>
    <t>Lender Fees</t>
  </si>
  <si>
    <t>Draw from Operating Reserve (acts as + to CF)</t>
  </si>
  <si>
    <t>Acq/Rehab Surplus/(Deficit)</t>
  </si>
  <si>
    <t>4bd-50</t>
  </si>
  <si>
    <t>Loan Term (years)</t>
  </si>
  <si>
    <t>Available Cash Flow for Senior Debt</t>
  </si>
  <si>
    <t>4bd-60</t>
  </si>
  <si>
    <t>Interest Only Period (years)</t>
  </si>
  <si>
    <t>4bd-80</t>
  </si>
  <si>
    <t>Amortization Period (years)</t>
  </si>
  <si>
    <t>DEBT SERVICE</t>
  </si>
  <si>
    <t>Permanent Uses</t>
  </si>
  <si>
    <t>4bd-100</t>
  </si>
  <si>
    <t>DSCR Covenant</t>
  </si>
  <si>
    <t xml:space="preserve">Repayment - Acq/Rehab Senior Loan </t>
  </si>
  <si>
    <t>4bd-120</t>
  </si>
  <si>
    <t>Senior DSCR Check</t>
  </si>
  <si>
    <t>Repayment - Sub-Loan #1 (if due w/ Senior Loan)</t>
  </si>
  <si>
    <t>4bd-mrkt</t>
  </si>
  <si>
    <t>Max Loan Amount</t>
  </si>
  <si>
    <t>Amortizing Pymt (Annual)</t>
  </si>
  <si>
    <t>Available Cash Flow for Sub-Debt</t>
  </si>
  <si>
    <t>Total Permanent Uses</t>
  </si>
  <si>
    <t>TOTALS (across all units):</t>
  </si>
  <si>
    <t>Per Max Senior LTV:</t>
  </si>
  <si>
    <t>Per Max DSCR Covenant:</t>
  </si>
  <si>
    <t>New Permanent Sources</t>
  </si>
  <si>
    <t>Senior Loan LTV:</t>
  </si>
  <si>
    <t>Acq+Rehab Funding Sources</t>
  </si>
  <si>
    <t>Total DSCR Check</t>
  </si>
  <si>
    <t>Additional Sponsor Equity at Perm Close</t>
  </si>
  <si>
    <t>Available Cash Flow for Residual Receipts</t>
  </si>
  <si>
    <t>Grant Type #4 - Contrib. at Perm Close</t>
  </si>
  <si>
    <t>Low Debt, high subsidy</t>
  </si>
  <si>
    <t>Slightly less subsidy</t>
  </si>
  <si>
    <t>Pulled from Construction Debt - Sub. Loan #1</t>
  </si>
  <si>
    <t>Total New Permanent Sources</t>
  </si>
  <si>
    <t>Acquisition &amp; Rehab Costs</t>
  </si>
  <si>
    <t>Total</t>
  </si>
  <si>
    <t>Per Unit</t>
  </si>
  <si>
    <t>Acq/Rehab Senior Loan</t>
  </si>
  <si>
    <t>Loan to Cost %</t>
  </si>
  <si>
    <t>No addl fees</t>
  </si>
  <si>
    <t>Available Cash Flow after Residual Receipts #2</t>
  </si>
  <si>
    <t>Perm Surplus/(Deficit)</t>
  </si>
  <si>
    <t xml:space="preserve">Purchase Price </t>
  </si>
  <si>
    <t>Remaining Loan Term 
(after Acq/rehab phase)</t>
  </si>
  <si>
    <t>Purchase Price Other</t>
  </si>
  <si>
    <t xml:space="preserve">Loan Term (years)
(assumes IO) </t>
  </si>
  <si>
    <t>Addl Interest Only Period (years)</t>
  </si>
  <si>
    <t>Purchase Price Total</t>
  </si>
  <si>
    <t>N/A</t>
  </si>
  <si>
    <t>Available Cash Flow after Residual Receipts #2 &amp; #3</t>
  </si>
  <si>
    <t xml:space="preserve">Subsidy Need Remanining </t>
  </si>
  <si>
    <t>Amortized Over (years)</t>
  </si>
  <si>
    <t>Total Subsidy in This Project</t>
  </si>
  <si>
    <t>Amortization Payment</t>
  </si>
  <si>
    <t>Site Improvements</t>
  </si>
  <si>
    <t>Subordinate Loan #1 (IO-&gt;P&amp;I)</t>
  </si>
  <si>
    <t>Available Cash Flow for Op Reserves</t>
  </si>
  <si>
    <t>Rehab Cost per unit:</t>
  </si>
  <si>
    <t>Rehab Costs</t>
  </si>
  <si>
    <t>Prevailing wage % increase to costs:</t>
  </si>
  <si>
    <t>Other Hard Costs</t>
  </si>
  <si>
    <t>OPERATING RESERVE CONTRIBUTION</t>
  </si>
  <si>
    <t>Prevailing wage req'd? 'yes' or 'no':</t>
  </si>
  <si>
    <t>Addl Cost for Prevailing Wage</t>
  </si>
  <si>
    <t xml:space="preserve">Loan Term (years)
(assumes IO during Acq/rehab phase) </t>
  </si>
  <si>
    <t>Subordinate Loan #5 (Perm Only)</t>
  </si>
  <si>
    <t>Contribution to Operating Reserve (acts as - to CF)</t>
  </si>
  <si>
    <t>Hard Cost Contingency %:</t>
  </si>
  <si>
    <t>Hard Cost Contingency</t>
  </si>
  <si>
    <t>Remaining Cash Flow</t>
  </si>
  <si>
    <t>Hard Cost Total</t>
  </si>
  <si>
    <t>Senior + Sub #1 LTC</t>
  </si>
  <si>
    <t>Operating Reserve Tracker</t>
  </si>
  <si>
    <t>ACQUISITION COSTS</t>
  </si>
  <si>
    <t>Sufficient cash in 'BOY Opex Reserve Balance' to fund cash flow shortfalls for all 15 yrs? --&gt;</t>
  </si>
  <si>
    <t>BOY Opex Reserve Balance</t>
  </si>
  <si>
    <t>Studies, Surveys, Reports</t>
  </si>
  <si>
    <t>Subordinate Loan #2 (residual receipts)</t>
  </si>
  <si>
    <t>BOY # of months of OpEx+Debt Coverage</t>
  </si>
  <si>
    <t>Title, Escrow, Closing Costs, Legal, Fees, Transfer Taxes</t>
  </si>
  <si>
    <t>Max $ Per Unit</t>
  </si>
  <si>
    <t>Cash Flow Shortfall This Year</t>
  </si>
  <si>
    <t>Other Acquisition Costs</t>
  </si>
  <si>
    <t>Max $ per Project</t>
  </si>
  <si>
    <t>Planned OpEx Reserve Spendown This Year</t>
  </si>
  <si>
    <t>Additional OpEx Reserve Spendown This Year</t>
  </si>
  <si>
    <t>PREDEVELOPMENT COSTS</t>
  </si>
  <si>
    <t>Total LTV (Senior +Sub)</t>
  </si>
  <si>
    <t>Opex Reserve Remaining Balance</t>
  </si>
  <si>
    <t>Design &amp; Engineering</t>
  </si>
  <si>
    <t>Lender Fee</t>
  </si>
  <si>
    <t># of months of [Next Year's] OpEx+Debt Coverage</t>
  </si>
  <si>
    <t>Architecture</t>
  </si>
  <si>
    <t>Share of Residual Receipts to Lender</t>
  </si>
  <si>
    <t>Additional Sponsor Equity</t>
  </si>
  <si>
    <t>OpEx+Debt Coverage Needed Next Year</t>
  </si>
  <si>
    <t>Permits</t>
  </si>
  <si>
    <t>One-Time $ Amount</t>
  </si>
  <si>
    <t>Annual Contribution to OpEx Reserve Needed
[to meet OpEx Reserve Coverage target]</t>
  </si>
  <si>
    <t>Other Predevelopment Costs</t>
  </si>
  <si>
    <t>Subordinate Loan #3 (residual receipts)</t>
  </si>
  <si>
    <t>Year Contributed</t>
  </si>
  <si>
    <t>OTHER SOFT COSTS</t>
  </si>
  <si>
    <t>Replacement Reserve Tracker</t>
  </si>
  <si>
    <t>Overhead / G&amp;A</t>
  </si>
  <si>
    <t>Grant Type #4 - Ongoing Subsidy</t>
  </si>
  <si>
    <t>BOY Repair Reserve Balance</t>
  </si>
  <si>
    <t>Estimate of financing costs:</t>
  </si>
  <si>
    <t>Financing Costs (Loan Fees, Interest, Other)</t>
  </si>
  <si>
    <t>Ongoing (Annual) $ Amount</t>
  </si>
  <si>
    <t>Annual Contribution to Repair Reserve</t>
  </si>
  <si>
    <t>Tenant Relocation Fees</t>
  </si>
  <si>
    <t>Year Contributions Begin</t>
  </si>
  <si>
    <t>Repair Reserve Spendown (-)</t>
  </si>
  <si>
    <t>RR # of months of coverage:</t>
  </si>
  <si>
    <t>Replacement Reserve (Capitalized)</t>
  </si>
  <si>
    <t>Repair Reserves EOY Running Balance</t>
  </si>
  <si>
    <t>OR # of months of coverage:</t>
  </si>
  <si>
    <t>Operating Reserve (Capitalized)</t>
  </si>
  <si>
    <t>Replacement Reserve $ / Unit</t>
  </si>
  <si>
    <t>Marketing Fees</t>
  </si>
  <si>
    <t>Subordinate Loan #4 (residual receipts)</t>
  </si>
  <si>
    <t>Developer Fee Options</t>
  </si>
  <si>
    <t>Property Taxes</t>
  </si>
  <si>
    <t>1) Flat Fee (% of Total Hard Costs)</t>
  </si>
  <si>
    <t>2) Base Fee + $/Unit Fee</t>
  </si>
  <si>
    <t>Project Mgmt Fee</t>
  </si>
  <si>
    <t>Running Loan Balances</t>
  </si>
  <si>
    <t>Flat Fee:</t>
  </si>
  <si>
    <t>Select "Flat" or "Base"</t>
  </si>
  <si>
    <t xml:space="preserve">Developer Fee </t>
  </si>
  <si>
    <t>Base Fee:</t>
  </si>
  <si>
    <t>Other Soft Costs</t>
  </si>
  <si>
    <t>Beginning Balance</t>
  </si>
  <si>
    <t>$/Unit Fee:</t>
  </si>
  <si>
    <t>Soft Cost Total</t>
  </si>
  <si>
    <t>Annual Interest Payment (+)</t>
  </si>
  <si>
    <t>Annual Payment (-)</t>
  </si>
  <si>
    <t>Total Acq/Rehab Cost</t>
  </si>
  <si>
    <t>Total LTC</t>
  </si>
  <si>
    <t>Ending Balance</t>
  </si>
  <si>
    <t>Rehab Tax Credits</t>
  </si>
  <si>
    <t>QRE</t>
  </si>
  <si>
    <t>Credit Percentage</t>
  </si>
  <si>
    <t>Annual Paydown (-)</t>
  </si>
  <si>
    <t>Credit Pricing</t>
  </si>
  <si>
    <t>Sponsor Equity</t>
  </si>
  <si>
    <t>Grant Type #1</t>
  </si>
  <si>
    <t>Grant Type #2</t>
  </si>
  <si>
    <t>Grant Type #3</t>
  </si>
  <si>
    <t>Limited Equity Housing Cooperative Project</t>
  </si>
  <si>
    <t>15 Yr Operating Pro Forma</t>
  </si>
  <si>
    <t>Applicable to Perm/Operating phase</t>
  </si>
  <si>
    <t>Mix of v low and high</t>
  </si>
  <si>
    <t>Annual Gross Carrying Charge</t>
  </si>
  <si>
    <t>Carrying Charge
(Monthly)</t>
  </si>
  <si>
    <t>Aspects unique to LEHCs</t>
  </si>
  <si>
    <t>Orange Text</t>
  </si>
  <si>
    <t>Less: Bad Debt / Unpaid Charges</t>
  </si>
  <si>
    <t xml:space="preserve">Tax rate Years 1-2, Pre-WTE </t>
  </si>
  <si>
    <t>Maintenance &amp; Repair</t>
  </si>
  <si>
    <t>Hard Rehab Costs</t>
  </si>
  <si>
    <t>Disposition Costs</t>
  </si>
  <si>
    <t>LEHC Consultant Fees (per year)</t>
  </si>
  <si>
    <t>LEHC Consultant Fees</t>
  </si>
  <si>
    <t>Replacement Reserves</t>
  </si>
  <si>
    <t>Perm Senior Blanket Loan</t>
  </si>
  <si>
    <t xml:space="preserve">Repayment - Senior Acq/Rehab Loan </t>
  </si>
  <si>
    <t>Repayment - Sub-Loan#1 (if due w/ Senior Loan)</t>
  </si>
  <si>
    <t>Debt Service</t>
  </si>
  <si>
    <t>Amortizing Pymt</t>
  </si>
  <si>
    <t>Total Down Payment Assistance Need</t>
  </si>
  <si>
    <t>Acquisition Costs</t>
  </si>
  <si>
    <t>Low Debt, high sub</t>
  </si>
  <si>
    <t>Other Purchase Price</t>
  </si>
  <si>
    <t>Prevailing wage req'd? Select Yes/No</t>
  </si>
  <si>
    <t>Subordinate Loan #2 (Perm Only)</t>
  </si>
  <si>
    <t>Hard Rehab Cost Total</t>
  </si>
  <si>
    <t>Amortization Period</t>
  </si>
  <si>
    <t>Financing Costs (Loan Fees, IO Period Interest, Other)</t>
  </si>
  <si>
    <t>Coop Conversion Legal Fees</t>
  </si>
  <si>
    <t>LEHC Member Share Purchase</t>
  </si>
  <si>
    <t>Share Price per Member</t>
  </si>
  <si>
    <t>DPA per Member</t>
  </si>
  <si>
    <t>Loan $ Amount per Member</t>
  </si>
  <si>
    <t>Loan Term / Amortization (years)</t>
  </si>
  <si>
    <t>Can any members afford proposed share purchase?</t>
  </si>
  <si>
    <t>Developer Closing Costs</t>
  </si>
  <si>
    <t>Disposition Cost Total</t>
  </si>
  <si>
    <t>Member Carrying Charge / Affordability Calculator</t>
  </si>
  <si>
    <t>+ Share Loan Evaluation</t>
  </si>
  <si>
    <t>TDC (per unit)</t>
  </si>
  <si>
    <t>Family Size</t>
  </si>
  <si>
    <t>Income Limit (% of AMI)</t>
  </si>
  <si>
    <t xml:space="preserve">Annual Median Income 
for Family Size </t>
  </si>
  <si>
    <t>Front-end Ratio (PITI)</t>
  </si>
  <si>
    <t>Available for housing costs (annual)</t>
  </si>
  <si>
    <t>Available for housing costs (monthly)</t>
  </si>
  <si>
    <t>Operating Expenses
(annual, member's share)</t>
  </si>
  <si>
    <t>Debt Service
(annual, member's share)</t>
  </si>
  <si>
    <t>Available after coop housing costs</t>
  </si>
  <si>
    <t>Proposed Share Loan P&amp;I (annual)</t>
  </si>
  <si>
    <t>Can member afford the proposed share loan?</t>
  </si>
  <si>
    <t>Initial Sales Price</t>
  </si>
  <si>
    <t>Applicable to Sale phase</t>
  </si>
  <si>
    <t>[Initial] Affordable Sale Price</t>
  </si>
  <si>
    <t>DPA</t>
  </si>
  <si>
    <t>[% of market value]</t>
  </si>
  <si>
    <r>
      <t xml:space="preserve">Property Taxes 
</t>
    </r>
    <r>
      <rPr>
        <sz val="10"/>
        <color theme="1"/>
        <rFont val="Aptos Narrow"/>
        <family val="2"/>
        <scheme val="minor"/>
      </rPr>
      <t>(assumes market value)</t>
    </r>
  </si>
  <si>
    <r>
      <t xml:space="preserve">Insurance
</t>
    </r>
    <r>
      <rPr>
        <sz val="10"/>
        <color theme="1"/>
        <rFont val="Aptos Narrow"/>
        <family val="2"/>
        <scheme val="minor"/>
      </rPr>
      <t>(assumes market value)</t>
    </r>
  </si>
  <si>
    <t>[$ per month per unit]</t>
  </si>
  <si>
    <t>HOA Dues</t>
  </si>
  <si>
    <t>Ground Lease Fee</t>
  </si>
  <si>
    <t>Soft Rehab Costs</t>
  </si>
  <si>
    <t>Total Other Housing Costs</t>
  </si>
  <si>
    <t>Available for mortgage payment</t>
  </si>
  <si>
    <t>Market Rate as of (hyperlink):</t>
  </si>
  <si>
    <t>Mortgage Loan Interest Rate</t>
  </si>
  <si>
    <t>Maximum Loan Amount</t>
  </si>
  <si>
    <t>[Flat $ value per unit]</t>
  </si>
  <si>
    <t>Downpayment Assistance</t>
  </si>
  <si>
    <t>Costs Paid by Buyer
(Closing, Realtor, Etc)</t>
  </si>
  <si>
    <t>Initial Affordable Sale Price</t>
  </si>
  <si>
    <t>Initial Subsidy Required</t>
  </si>
  <si>
    <t>Disposition Uses</t>
  </si>
  <si>
    <t>Resale Price Projections</t>
  </si>
  <si>
    <t>Repayment - Sub-Loan#1</t>
  </si>
  <si>
    <t>Total Disposition Uses</t>
  </si>
  <si>
    <t>Initial Affordable Sales Price</t>
  </si>
  <si>
    <t>Initial Purchase First Mortgage</t>
  </si>
  <si>
    <t>New Disposition Sources</t>
  </si>
  <si>
    <t>Initial Purchase Down Pymt $</t>
  </si>
  <si>
    <t>Home Sales</t>
  </si>
  <si>
    <t>Total Disposition Sources</t>
  </si>
  <si>
    <t>Amort Schedule for Initial Purchaser</t>
  </si>
  <si>
    <t>Mortgage Value</t>
  </si>
  <si>
    <t>Base Amount</t>
  </si>
  <si>
    <t>Total Project Deficit (-) / Surplus (+)</t>
  </si>
  <si>
    <t>Total Subsidy Need</t>
  </si>
  <si>
    <t>Market Appreciation Rate:</t>
  </si>
  <si>
    <t>HPA - Market Value</t>
  </si>
  <si>
    <t>Subordinate Loan #1</t>
  </si>
  <si>
    <t>Base Price</t>
  </si>
  <si>
    <t>no</t>
  </si>
  <si>
    <t>Fixed Rate Resale Formula</t>
  </si>
  <si>
    <t xml:space="preserve">Max Resale Price </t>
  </si>
  <si>
    <t>Max Equity Returned to Homeowner (before fees)</t>
  </si>
  <si>
    <t>Down Payment</t>
  </si>
  <si>
    <t>Replacement Reserves (per unit per year):</t>
  </si>
  <si>
    <t xml:space="preserve"> # months of coverage:</t>
  </si>
  <si>
    <t>Property Operating Budget (annual):</t>
  </si>
  <si>
    <t>Type 'flat' or 'base':</t>
  </si>
  <si>
    <t>flat</t>
  </si>
  <si>
    <t>Max AMI of Future Homeowner</t>
  </si>
  <si>
    <t>Today</t>
  </si>
  <si>
    <t xml:space="preserve">Subordinate Loan #1 </t>
  </si>
  <si>
    <t>Rent Limit (monthly) by Number of Bedrooms in Unit</t>
  </si>
  <si>
    <t>Market</t>
  </si>
  <si>
    <t>Income Limit (annual) by Number of Persons in Household</t>
  </si>
  <si>
    <t>Project ID</t>
  </si>
  <si>
    <t>Sponsor Type</t>
  </si>
  <si>
    <t>City</t>
  </si>
  <si>
    <t>Subregion/Submarket</t>
  </si>
  <si>
    <t>Units</t>
  </si>
  <si>
    <t>Household AMI Average</t>
  </si>
  <si>
    <t>Rent AMI Average</t>
  </si>
  <si>
    <t>Year Built</t>
  </si>
  <si>
    <t>Development Type</t>
  </si>
  <si>
    <t>Building Size</t>
  </si>
  <si>
    <t>Legal</t>
  </si>
  <si>
    <t>Relocation</t>
  </si>
  <si>
    <t>Developer Fee</t>
  </si>
  <si>
    <t>Professional services (architecture, engineering, etc.)</t>
  </si>
  <si>
    <t>Permitting/entitlements</t>
  </si>
  <si>
    <t>Soft Cost Contingency</t>
  </si>
  <si>
    <t>Financing Costs</t>
  </si>
  <si>
    <t>Total Soft Costs</t>
  </si>
  <si>
    <t>GC Fee</t>
  </si>
  <si>
    <t xml:space="preserve">Electrical </t>
  </si>
  <si>
    <t xml:space="preserve">Structural </t>
  </si>
  <si>
    <t>Plumbing</t>
  </si>
  <si>
    <t>Site improvements (landscaping, driveways, etc)</t>
  </si>
  <si>
    <t>HVAC</t>
  </si>
  <si>
    <t>Contingency</t>
  </si>
  <si>
    <t>Total Construction Costs</t>
  </si>
  <si>
    <t>Total Development Cost</t>
  </si>
  <si>
    <t>Local Policy Impact</t>
  </si>
  <si>
    <t>Rehab Level</t>
  </si>
  <si>
    <t>Senior Loan</t>
  </si>
  <si>
    <t>City Subsidy</t>
  </si>
  <si>
    <t>County Subsidy</t>
  </si>
  <si>
    <t>Federal Subsidy</t>
  </si>
  <si>
    <t>State Subsidy/Financing</t>
  </si>
  <si>
    <t>Total Sources</t>
  </si>
  <si>
    <t>Management</t>
  </si>
  <si>
    <t>Administrative</t>
  </si>
  <si>
    <t>Repairs and Maintenance</t>
  </si>
  <si>
    <t>Payroll (On-site staff, resident services, etc.)</t>
  </si>
  <si>
    <t>Other (Security</t>
  </si>
  <si>
    <t>Total OpEx</t>
  </si>
  <si>
    <t>Total Cost to Purchase Price Ratio</t>
  </si>
  <si>
    <t>Purchase Price/Unit</t>
  </si>
  <si>
    <t>Soft Cost/Unit</t>
  </si>
  <si>
    <t>Construction Cost/Unit</t>
  </si>
  <si>
    <t>TDC Per-Unit</t>
  </si>
  <si>
    <t>OpEx Per-Unit</t>
  </si>
  <si>
    <t>Project Notes</t>
  </si>
  <si>
    <t>Lump Construction cost</t>
  </si>
  <si>
    <t>Cap Operating Reserves</t>
  </si>
  <si>
    <t>Vacancy Reserve</t>
  </si>
  <si>
    <t>Construction management fee</t>
  </si>
  <si>
    <t>Affordable Housing Developer</t>
  </si>
  <si>
    <t>Yorba Linda</t>
  </si>
  <si>
    <t>Moderate Cost Suburban</t>
  </si>
  <si>
    <t>30%, 45%, 50%, 60%</t>
  </si>
  <si>
    <t>Single structure</t>
  </si>
  <si>
    <t>Substantial</t>
  </si>
  <si>
    <t>Total Development Costs included assumed loans (no new funding) interim/operating income, and deferred developer fees. (non prevailing wage project)</t>
  </si>
  <si>
    <t>Rialto</t>
  </si>
  <si>
    <t>1 to 15</t>
  </si>
  <si>
    <t>Rowland Heights</t>
  </si>
  <si>
    <t>Urban SoCal</t>
  </si>
  <si>
    <t>Light</t>
  </si>
  <si>
    <t>16 to 30</t>
  </si>
  <si>
    <t>Inglewood</t>
  </si>
  <si>
    <t>-</t>
  </si>
  <si>
    <t>31+</t>
  </si>
  <si>
    <t>CDC</t>
  </si>
  <si>
    <t>Fresno</t>
  </si>
  <si>
    <t>Lower Cost Interior</t>
  </si>
  <si>
    <t>Single site</t>
  </si>
  <si>
    <t>Moderate</t>
  </si>
  <si>
    <t>Paid for in cash from philanthropic grant; limited soft costs data</t>
  </si>
  <si>
    <t>Reedley</t>
  </si>
  <si>
    <t>Subdivision/cluster</t>
  </si>
  <si>
    <t>Lindsay</t>
  </si>
  <si>
    <t>Rehab scope includes all items in Capital Needs Assessment report - includes new interiors, HVAC replacement, new windows and accessibility improvements</t>
  </si>
  <si>
    <t>CLT</t>
  </si>
  <si>
    <t>Oakland</t>
  </si>
  <si>
    <t>Bay Area</t>
  </si>
  <si>
    <t>Two 8-unit buildings</t>
  </si>
  <si>
    <t>1958, 1942</t>
  </si>
  <si>
    <t>Scattered site</t>
  </si>
  <si>
    <t xml:space="preserve"> Non-prevailing wage, but local hire </t>
  </si>
  <si>
    <t>OpEx increase of 306% 2020 to 2025; details not provided</t>
  </si>
  <si>
    <t>OpEx increase of 254% 2020 to 2025; details not provided</t>
  </si>
  <si>
    <t>3 individual SFHs clustered together in one funding app. Complex sources/uses situation due to long bridge period and phasing, imperfect data</t>
  </si>
  <si>
    <t>Los Angeles</t>
  </si>
  <si>
    <t>CDC &amp; CLT (JV)</t>
  </si>
  <si>
    <t>East Los Angeles</t>
  </si>
  <si>
    <t>Two structures on one lot</t>
  </si>
  <si>
    <t>Prevailing wage</t>
  </si>
  <si>
    <t>OpEx based on 2023 audit, not disaggregated</t>
  </si>
  <si>
    <t>1948 &amp; 1963</t>
  </si>
  <si>
    <t>OpEx based on 2023 audit, not fully disaggregated; Discrepancies in Phase 1 Sum and LACDA Calcs due to Change Orders</t>
  </si>
  <si>
    <t>1924 &amp; 1948</t>
  </si>
  <si>
    <t>OpEx based on 2023 audit, not fully disaggregated</t>
  </si>
  <si>
    <t xml:space="preserve">OpEx based on 2023 audit, not fully disaggregated. Project did not have County rehab funds, so monitored with lighter touch than other projects. Scope included concrete site work, roof work, abatement, and electrical. </t>
  </si>
  <si>
    <t>1941 &amp; 2005</t>
  </si>
  <si>
    <t>OpEx based on 2023 audit, not fully disaggregated. Delta between sources and uses explained by out of date development budget that did not account for adjustments to rehab contract. In all likelihood, project either paid back loan amount, deposited into reserves, or reduced sponsor equity.</t>
  </si>
  <si>
    <t>Berkeley</t>
  </si>
  <si>
    <t xml:space="preserve"> Prevailing wage </t>
  </si>
  <si>
    <t>OpEx Other: Legal + Prop Tax+AMF</t>
  </si>
  <si>
    <t xml:space="preserve"> Other (describe in notes) </t>
  </si>
  <si>
    <t>Policy Other: Local Hiring; OpEx Other: Legal + Prop Tax + AMF</t>
  </si>
  <si>
    <t>Other: Legal + Prop Tax + AMF</t>
  </si>
  <si>
    <t>San Francisco</t>
  </si>
  <si>
    <t>One building</t>
  </si>
  <si>
    <t>The proposed rehabilitation scope includes structural
upgrades, electrical upgrades, HVAC upgrades, fire system upgrades, plumbing repairs,
window replacement, façade repair, and unit refurbishment</t>
  </si>
  <si>
    <t>Two buildings</t>
  </si>
  <si>
    <t>Added two ADUs, garage conversion. Full soft story retrofit, new electrical system, roof replacement, exterior stair and façade repairs, new flooring, various unit improvements, and lead and asbestos remediation. OpEx from 2023</t>
  </si>
  <si>
    <t>The proposed rehabilitation scope includes structural upgrades, electrical upgrades, HVAC upgrades, fire system upgrades, plumbing repairs, window replacement, façade repair, and unit refurbishment.
OpEx from 2023</t>
  </si>
  <si>
    <t>Seismic retrofit, new rooftop deck and wind guards, new façade siding and exterior paint; replaced 22 wood windows and 44 vinyl windows. Common area and unit upgrades.
Insurance increased from $4k/year to $12,995 year during loan review
OpEx from 2023</t>
  </si>
  <si>
    <t>Soft story retrofit, extensive in-unit improvements, new electrical sub-panels. OpEx from 2023</t>
  </si>
  <si>
    <t>OpEx average 2019-2023</t>
  </si>
  <si>
    <t>Electrical system upgrade with sub panel replacement, grounding, and installation of emergency lighting + smoke/CO detectors; roofing upgrades and skylight; replacement of mailboxes, exterior fence, water heater connections, and applicances. OpEx average 2021-2023</t>
  </si>
  <si>
    <t>One building + 2 ADUs</t>
  </si>
  <si>
    <t xml:space="preserve">Substantial </t>
  </si>
  <si>
    <t>OpEx from 2023</t>
  </si>
  <si>
    <t xml:space="preserve">Mixed Use </t>
  </si>
  <si>
    <t>Finished towards end of 2019. Project cost breakdown was not provided. One commercial unit. OpEx from 2023</t>
  </si>
  <si>
    <t>Mixed Use</t>
  </si>
  <si>
    <t>Finished in 2018, mixed use. Project cost breakdown was not provided. 5 commercial units. OpEx average of 2019-2023</t>
  </si>
  <si>
    <t>Median Cost Breakdown by Select Subcategories</t>
  </si>
  <si>
    <t>Average Cost Breakdown by Select Subcategories</t>
  </si>
  <si>
    <t>Minimum Cost Breakdown by Select Subcategories</t>
  </si>
  <si>
    <t>Maximum Cost Breakdown by Select Subcategories</t>
  </si>
  <si>
    <t>Geography</t>
  </si>
  <si>
    <t>Median Per-Unit Costs</t>
  </si>
  <si>
    <t>Average (Mean) Per-Unit Costs</t>
  </si>
  <si>
    <t>Minimum Per-Unit Costs</t>
  </si>
  <si>
    <t>Maximum Per-Unit Costs</t>
  </si>
  <si>
    <t>Total Projects</t>
  </si>
  <si>
    <t xml:space="preserve"> Purchase</t>
  </si>
  <si>
    <t>Operating Costs</t>
  </si>
  <si>
    <t>California</t>
  </si>
  <si>
    <t>Note: Blank = Data not provided</t>
  </si>
  <si>
    <t>Hard Cost Component Breakdown</t>
  </si>
  <si>
    <t>Average</t>
  </si>
  <si>
    <t>Median</t>
  </si>
  <si>
    <t>Count</t>
  </si>
  <si>
    <t>Operating Cost Component Breakdown</t>
  </si>
  <si>
    <t>Property &amp; Asset Management</t>
  </si>
  <si>
    <t>California Total</t>
  </si>
  <si>
    <t xml:space="preserve">Site improvements </t>
  </si>
  <si>
    <t>Property Management</t>
  </si>
  <si>
    <t xml:space="preserve">Payroll </t>
  </si>
  <si>
    <t>Row Labels</t>
  </si>
  <si>
    <t>Count of Subregion/Submarket</t>
  </si>
  <si>
    <t>Average of Units</t>
  </si>
  <si>
    <t>Average of OpEx Per-Unit</t>
  </si>
  <si>
    <t>Average of TDC Per-Unit</t>
  </si>
  <si>
    <t>Los Angeles County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</si>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</sst>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_(&quot;$&quot;* #,##0_);_(&quot;$&quot;* \(#,##0\);_(&quot;$&quot;* &quot;-&quot;??_);_(@_)"/>
    <numFmt numFmtId="165" formatCode="&quot;$&quot;#,##0"/>
    <numFmt numFmtId="166" formatCode="_(* #,##0_);_(* \(#,##0\);_(* &quot;-&quot;??_);_(@_)"/>
    <numFmt numFmtId="167" formatCode="0.0%"/>
    <numFmt numFmtId="168" formatCode="[$-409]d\-mmm\-yy;@"/>
    <numFmt numFmtId="169" formatCode="&quot;$&quot;#,##0.00"/>
    <numFmt numFmtId="170" formatCode="&quot;Year&quot;\ General"/>
    <numFmt numFmtId="171" formatCode="0.000%"/>
    <numFmt numFmtId="172" formatCode="_([$$-409]* #,##0.00_);_([$$-409]* \(#,##0.00\);_([$$-409]* &quot;-&quot;??_);_(@_)"/>
    <numFmt numFmtId="173" formatCode="#,##0\ &quot;years&quot;"/>
    <numFmt numFmtId="174" formatCode="0%\ &quot;annual increase in AMI&quot;"/>
    <numFmt numFmtId="175" formatCode="0.000%\ &quot;increase per year&quot;"/>
    <numFmt numFmtId="176" formatCode="0.00%\ &quot;/ year&quot;"/>
    <numFmt numFmtId="177" formatCode="&quot;$&quot;#,##0\ &quot;per unit&quot;"/>
    <numFmt numFmtId="178" formatCode="0&quot;)&quot;"/>
    <numFmt numFmtId="179" formatCode="&quot;Year&quot;\ 0"/>
    <numFmt numFmtId="180" formatCode="0.0"/>
  </numFmts>
  <fonts count="87">
    <font>
      <sz val="11"/>
      <color theme="1"/>
      <name val="Aptos Narrow"/>
      <family val="2"/>
      <scheme val="minor"/>
    </font>
    <font>
      <b/>
      <sz val="11"/>
      <color theme="1"/>
      <name val="Aptos Narrow"/>
      <family val="2"/>
      <scheme val="minor"/>
    </font>
    <font>
      <sz val="11"/>
      <color theme="1"/>
      <name val="Aptos Narrow"/>
      <family val="2"/>
      <scheme val="minor"/>
    </font>
    <font>
      <b/>
      <sz val="16"/>
      <color theme="0"/>
      <name val="Arial"/>
      <family val="2"/>
    </font>
    <font>
      <sz val="11"/>
      <color rgb="FF000000"/>
      <name val="Arial"/>
      <family val="2"/>
    </font>
    <font>
      <sz val="11"/>
      <color indexed="8"/>
      <name val="Arial"/>
      <family val="2"/>
    </font>
    <font>
      <sz val="11"/>
      <name val="Arial"/>
      <family val="2"/>
    </font>
    <font>
      <b/>
      <sz val="11"/>
      <color indexed="8"/>
      <name val="Arial"/>
      <family val="2"/>
    </font>
    <font>
      <sz val="14"/>
      <color rgb="FF000000"/>
      <name val="Arial"/>
      <family val="2"/>
    </font>
    <font>
      <b/>
      <sz val="11"/>
      <color rgb="FF000000"/>
      <name val="Arial"/>
      <family val="2"/>
    </font>
    <font>
      <b/>
      <sz val="11"/>
      <color theme="1"/>
      <name val="Arial"/>
      <family val="2"/>
    </font>
    <font>
      <i/>
      <sz val="11"/>
      <color indexed="8"/>
      <name val="Arial"/>
      <family val="2"/>
    </font>
    <font>
      <sz val="12"/>
      <color theme="1"/>
      <name val="Arial"/>
      <family val="2"/>
    </font>
    <font>
      <sz val="11"/>
      <color rgb="FF0070C0"/>
      <name val="Arial"/>
      <family val="2"/>
    </font>
    <font>
      <sz val="11"/>
      <color theme="1"/>
      <name val="Arial"/>
      <family val="2"/>
    </font>
    <font>
      <sz val="11"/>
      <color theme="5"/>
      <name val="Aptos Narrow"/>
      <family val="2"/>
      <scheme val="minor"/>
    </font>
    <font>
      <sz val="11"/>
      <color theme="4"/>
      <name val="Aptos Narrow"/>
      <family val="2"/>
      <scheme val="minor"/>
    </font>
    <font>
      <sz val="12"/>
      <color theme="1"/>
      <name val="Aptos Narrow"/>
      <family val="2"/>
      <scheme val="minor"/>
    </font>
    <font>
      <b/>
      <sz val="14"/>
      <name val="Arial"/>
      <family val="2"/>
    </font>
    <font>
      <b/>
      <sz val="11"/>
      <name val="Arial"/>
      <family val="2"/>
    </font>
    <font>
      <b/>
      <sz val="22"/>
      <color theme="0"/>
      <name val="Arial"/>
      <family val="2"/>
    </font>
    <font>
      <sz val="16"/>
      <color theme="1"/>
      <name val="Arial"/>
      <family val="2"/>
    </font>
    <font>
      <sz val="11"/>
      <color theme="4"/>
      <name val="Arial"/>
      <family val="2"/>
    </font>
    <font>
      <sz val="14"/>
      <name val="Arial"/>
      <family val="2"/>
    </font>
    <font>
      <b/>
      <sz val="14"/>
      <color theme="1"/>
      <name val="Arial"/>
      <family val="2"/>
    </font>
    <font>
      <sz val="8"/>
      <name val="Aptos Narrow"/>
      <family val="2"/>
      <scheme val="minor"/>
    </font>
    <font>
      <b/>
      <u/>
      <sz val="11"/>
      <color theme="1"/>
      <name val="Aptos Narrow"/>
      <family val="2"/>
      <scheme val="minor"/>
    </font>
    <font>
      <b/>
      <u/>
      <sz val="11"/>
      <name val="Arial"/>
      <family val="2"/>
    </font>
    <font>
      <b/>
      <u/>
      <sz val="11"/>
      <color rgb="FF000000"/>
      <name val="Arial"/>
      <family val="2"/>
    </font>
    <font>
      <b/>
      <sz val="12"/>
      <color theme="1"/>
      <name val="Arial"/>
      <family val="2"/>
    </font>
    <font>
      <b/>
      <u/>
      <sz val="11"/>
      <color theme="1"/>
      <name val="Arial"/>
      <family val="2"/>
    </font>
    <font>
      <u/>
      <sz val="11"/>
      <color rgb="FF000000"/>
      <name val="Arial"/>
      <family val="2"/>
    </font>
    <font>
      <i/>
      <sz val="11"/>
      <color theme="1"/>
      <name val="Arial"/>
      <family val="2"/>
    </font>
    <font>
      <b/>
      <u/>
      <sz val="12"/>
      <color theme="1"/>
      <name val="Aptos Narrow"/>
      <family val="2"/>
      <scheme val="minor"/>
    </font>
    <font>
      <sz val="12"/>
      <name val="Arial"/>
      <family val="2"/>
    </font>
    <font>
      <sz val="12"/>
      <color rgb="FF000000"/>
      <name val="Arial"/>
      <family val="2"/>
    </font>
    <font>
      <sz val="9"/>
      <color indexed="81"/>
      <name val="Tahoma"/>
      <family val="2"/>
    </font>
    <font>
      <b/>
      <sz val="9"/>
      <color indexed="81"/>
      <name val="Tahoma"/>
      <family val="2"/>
    </font>
    <font>
      <sz val="11"/>
      <color theme="2" tint="-9.9978637043366805E-2"/>
      <name val="Arial"/>
      <family val="2"/>
    </font>
    <font>
      <sz val="11"/>
      <color rgb="FFFF0000"/>
      <name val="Arial"/>
      <family val="2"/>
    </font>
    <font>
      <u/>
      <sz val="11"/>
      <color theme="10"/>
      <name val="Aptos Narrow"/>
      <family val="2"/>
      <scheme val="minor"/>
    </font>
    <font>
      <b/>
      <sz val="12"/>
      <color theme="1"/>
      <name val="Aptos Narrow"/>
      <family val="2"/>
      <scheme val="minor"/>
    </font>
    <font>
      <sz val="10"/>
      <color theme="1"/>
      <name val="Aptos Narrow"/>
      <family val="2"/>
      <scheme val="minor"/>
    </font>
    <font>
      <i/>
      <sz val="11"/>
      <color theme="1"/>
      <name val="Aptos"/>
      <family val="2"/>
    </font>
    <font>
      <sz val="11"/>
      <color theme="1"/>
      <name val="Aptos"/>
      <family val="2"/>
    </font>
    <font>
      <i/>
      <sz val="11"/>
      <color rgb="FF000000"/>
      <name val="Aptos"/>
      <family val="2"/>
    </font>
    <font>
      <sz val="11"/>
      <color rgb="FF000000"/>
      <name val="Aptos"/>
      <family val="2"/>
    </font>
    <font>
      <i/>
      <sz val="10"/>
      <color rgb="FF000000"/>
      <name val="Aptos"/>
      <family val="2"/>
    </font>
    <font>
      <sz val="8"/>
      <color rgb="FF001D35"/>
      <name val="Courier New"/>
      <family val="3"/>
    </font>
    <font>
      <b/>
      <sz val="12"/>
      <color theme="0"/>
      <name val="Aptos Narrow"/>
      <family val="2"/>
      <scheme val="minor"/>
    </font>
    <font>
      <sz val="11"/>
      <color rgb="FF0070C0"/>
      <name val="Aptos Narrow"/>
      <family val="2"/>
      <scheme val="minor"/>
    </font>
    <font>
      <u/>
      <sz val="11"/>
      <color rgb="FF0070C0"/>
      <name val="Aptos Narrow"/>
      <family val="2"/>
      <scheme val="minor"/>
    </font>
    <font>
      <sz val="11"/>
      <color theme="4" tint="0.79998168889431442"/>
      <name val="Arial"/>
      <family val="2"/>
    </font>
    <font>
      <sz val="11"/>
      <name val="Aptos Narrow"/>
      <family val="2"/>
      <scheme val="minor"/>
    </font>
    <font>
      <i/>
      <sz val="11"/>
      <color theme="1"/>
      <name val="Aptos Narrow"/>
      <family val="2"/>
      <scheme val="minor"/>
    </font>
    <font>
      <i/>
      <sz val="11"/>
      <color rgb="FF000000"/>
      <name val="Aptos Narrow"/>
      <family val="2"/>
      <scheme val="minor"/>
    </font>
    <font>
      <b/>
      <sz val="11"/>
      <color rgb="FF000000"/>
      <name val="Aptos Narrow"/>
      <family val="2"/>
      <scheme val="minor"/>
    </font>
    <font>
      <b/>
      <i/>
      <sz val="11"/>
      <color theme="1"/>
      <name val="Aptos Narrow"/>
      <family val="2"/>
      <scheme val="minor"/>
    </font>
    <font>
      <sz val="11"/>
      <color rgb="FF000000"/>
      <name val="Aptos Narrow"/>
      <family val="2"/>
      <scheme val="minor"/>
    </font>
    <font>
      <b/>
      <sz val="16"/>
      <color theme="1"/>
      <name val="Aptos Narrow"/>
      <family val="2"/>
      <scheme val="minor"/>
    </font>
    <font>
      <b/>
      <sz val="16"/>
      <color theme="1"/>
      <name val="Arial"/>
      <family val="2"/>
    </font>
    <font>
      <b/>
      <u/>
      <sz val="16"/>
      <color theme="1"/>
      <name val="Aptos Narrow"/>
      <family val="2"/>
      <scheme val="minor"/>
    </font>
    <font>
      <sz val="10"/>
      <color rgb="FF0070C0"/>
      <name val="Aptos Narrow"/>
      <family val="2"/>
      <scheme val="minor"/>
    </font>
    <font>
      <b/>
      <sz val="14"/>
      <color rgb="FF0070C0"/>
      <name val="Arial"/>
      <family val="2"/>
    </font>
    <font>
      <u/>
      <sz val="11"/>
      <color theme="1"/>
      <name val="Arial"/>
      <family val="2"/>
    </font>
    <font>
      <b/>
      <sz val="11"/>
      <color theme="2"/>
      <name val="Arial"/>
      <family val="2"/>
    </font>
    <font>
      <sz val="11"/>
      <color theme="2"/>
      <name val="Arial"/>
      <family val="2"/>
    </font>
    <font>
      <sz val="11"/>
      <color theme="5" tint="-0.249977111117893"/>
      <name val="Arial"/>
      <family val="2"/>
    </font>
    <font>
      <b/>
      <sz val="11"/>
      <color theme="5" tint="-0.249977111117893"/>
      <name val="Arial"/>
      <family val="2"/>
    </font>
    <font>
      <sz val="10"/>
      <color theme="1"/>
      <name val="Arial"/>
      <family val="2"/>
    </font>
    <font>
      <b/>
      <sz val="11"/>
      <color rgb="FF0070C0"/>
      <name val="Arial"/>
      <family val="2"/>
    </font>
    <font>
      <b/>
      <sz val="14"/>
      <color theme="1"/>
      <name val="Aptos Display"/>
      <family val="2"/>
      <scheme val="major"/>
    </font>
    <font>
      <sz val="11"/>
      <color theme="1"/>
      <name val="Aptos Display"/>
      <family val="2"/>
      <scheme val="major"/>
    </font>
    <font>
      <b/>
      <sz val="11"/>
      <color theme="1"/>
      <name val="Aptos Display"/>
      <family val="2"/>
      <scheme val="major"/>
    </font>
    <font>
      <sz val="10"/>
      <color rgb="FF001D35"/>
      <name val="Aptos Display"/>
      <family val="2"/>
      <scheme val="major"/>
    </font>
    <font>
      <sz val="11"/>
      <color rgb="FF000000"/>
      <name val="Aptos Display"/>
      <family val="2"/>
      <scheme val="major"/>
    </font>
    <font>
      <i/>
      <sz val="11"/>
      <color rgb="FF000000"/>
      <name val="Aptos Display"/>
      <family val="2"/>
      <scheme val="major"/>
    </font>
    <font>
      <i/>
      <sz val="11"/>
      <color theme="1"/>
      <name val="Aptos Display"/>
      <family val="2"/>
      <scheme val="major"/>
    </font>
    <font>
      <sz val="10"/>
      <color theme="1"/>
      <name val="Aptos Display"/>
      <family val="2"/>
      <scheme val="major"/>
    </font>
    <font>
      <sz val="10"/>
      <color rgb="FF000000"/>
      <name val="Aptos Display"/>
      <family val="2"/>
      <scheme val="major"/>
    </font>
    <font>
      <b/>
      <sz val="10"/>
      <color theme="1"/>
      <name val="Aptos Display"/>
      <family val="2"/>
      <scheme val="major"/>
    </font>
    <font>
      <sz val="11"/>
      <color rgb="FF000000"/>
      <name val="Calibri"/>
      <family val="2"/>
    </font>
    <font>
      <b/>
      <u/>
      <sz val="11"/>
      <color theme="4"/>
      <name val="Arial"/>
      <family val="2"/>
    </font>
    <font>
      <u/>
      <sz val="11"/>
      <color rgb="FF0070C0"/>
      <name val="Arial"/>
      <family val="2"/>
    </font>
    <font>
      <b/>
      <u/>
      <sz val="12"/>
      <color theme="1"/>
      <name val="Arial"/>
      <family val="2"/>
    </font>
    <font>
      <b/>
      <sz val="12"/>
      <color rgb="FF000000"/>
      <name val="Arial"/>
      <family val="2"/>
    </font>
    <font>
      <sz val="12"/>
      <color rgb="FF0070C0"/>
      <name val="Arial"/>
      <family val="2"/>
    </font>
  </fonts>
  <fills count="1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4"/>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89999084444715716"/>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2"/>
        <bgColor indexed="64"/>
      </patternFill>
    </fill>
    <fill>
      <patternFill patternType="solid">
        <fgColor rgb="FF66B5CC"/>
        <bgColor indexed="64"/>
      </patternFill>
    </fill>
    <fill>
      <patternFill patternType="solid">
        <fgColor theme="6" tint="0.79998168889431442"/>
        <bgColor indexed="64"/>
      </patternFill>
    </fill>
    <fill>
      <patternFill patternType="solid">
        <fgColor rgb="FFFFFF00"/>
        <bgColor indexed="64"/>
      </patternFill>
    </fill>
  </fills>
  <borders count="105">
    <border>
      <left/>
      <right/>
      <top/>
      <bottom/>
      <diagonal/>
    </border>
    <border>
      <left/>
      <right/>
      <top/>
      <bottom style="thin">
        <color indexed="64"/>
      </bottom>
      <diagonal/>
    </border>
    <border>
      <left style="dotted">
        <color rgb="FF0070C0"/>
      </left>
      <right style="dotted">
        <color rgb="FF0070C0"/>
      </right>
      <top style="dotted">
        <color rgb="FF0070C0"/>
      </top>
      <bottom style="dotted">
        <color rgb="FF0070C0"/>
      </bottom>
      <diagonal/>
    </border>
    <border>
      <left style="dotted">
        <color rgb="FF0070C0"/>
      </left>
      <right style="dotted">
        <color rgb="FF0070C0"/>
      </right>
      <top style="dotted">
        <color rgb="FF0070C0"/>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style="thin">
        <color indexed="64"/>
      </bottom>
      <diagonal/>
    </border>
    <border>
      <left style="thin">
        <color indexed="64"/>
      </left>
      <right/>
      <top/>
      <bottom/>
      <diagonal/>
    </border>
    <border>
      <left style="thin">
        <color auto="1"/>
      </left>
      <right/>
      <top style="thin">
        <color auto="1"/>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hair">
        <color theme="5"/>
      </left>
      <right style="hair">
        <color theme="5"/>
      </right>
      <top style="hair">
        <color theme="5"/>
      </top>
      <bottom style="hair">
        <color theme="5"/>
      </bottom>
      <diagonal/>
    </border>
    <border>
      <left style="hair">
        <color theme="4"/>
      </left>
      <right style="hair">
        <color theme="4"/>
      </right>
      <top style="hair">
        <color theme="4"/>
      </top>
      <bottom style="hair">
        <color theme="4"/>
      </bottom>
      <diagonal/>
    </border>
    <border>
      <left/>
      <right/>
      <top style="thin">
        <color auto="1"/>
      </top>
      <bottom style="thin">
        <color indexed="64"/>
      </bottom>
      <diagonal/>
    </border>
    <border>
      <left/>
      <right/>
      <top/>
      <bottom style="dotted">
        <color indexed="64"/>
      </bottom>
      <diagonal/>
    </border>
    <border>
      <left/>
      <right/>
      <top style="thin">
        <color indexed="64"/>
      </top>
      <bottom/>
      <diagonal/>
    </border>
    <border>
      <left/>
      <right/>
      <top/>
      <bottom style="double">
        <color indexed="64"/>
      </bottom>
      <diagonal/>
    </border>
    <border>
      <left style="dotted">
        <color rgb="FF0070C0"/>
      </left>
      <right/>
      <top style="dotted">
        <color rgb="FF0070C0"/>
      </top>
      <bottom style="dotted">
        <color rgb="FF0070C0"/>
      </bottom>
      <diagonal/>
    </border>
    <border>
      <left/>
      <right style="thin">
        <color indexed="64"/>
      </right>
      <top style="dotted">
        <color rgb="FF0070C0"/>
      </top>
      <bottom style="thin">
        <color indexed="64"/>
      </bottom>
      <diagonal/>
    </border>
    <border>
      <left/>
      <right style="thin">
        <color indexed="64"/>
      </right>
      <top style="dotted">
        <color rgb="FF0070C0"/>
      </top>
      <bottom style="dotted">
        <color rgb="FF0070C0"/>
      </bottom>
      <diagonal/>
    </border>
    <border>
      <left style="dotted">
        <color rgb="FF0070C0"/>
      </left>
      <right style="thin">
        <color indexed="64"/>
      </right>
      <top style="dotted">
        <color rgb="FF0070C0"/>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dotted">
        <color rgb="FF0070C0"/>
      </top>
      <bottom style="dotted">
        <color rgb="FF0070C0"/>
      </bottom>
      <diagonal/>
    </border>
    <border>
      <left/>
      <right/>
      <top style="dotted">
        <color rgb="FF0070C0"/>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dotted">
        <color rgb="FF0070C0"/>
      </top>
      <bottom style="dotted">
        <color rgb="FF0070C0"/>
      </bottom>
      <diagonal/>
    </border>
    <border>
      <left style="thin">
        <color indexed="64"/>
      </left>
      <right style="thin">
        <color indexed="64"/>
      </right>
      <top style="dotted">
        <color rgb="FF0070C0"/>
      </top>
      <bottom style="thin">
        <color indexed="64"/>
      </bottom>
      <diagonal/>
    </border>
    <border>
      <left/>
      <right style="dotted">
        <color rgb="FF0070C0"/>
      </right>
      <top style="dotted">
        <color rgb="FF0070C0"/>
      </top>
      <bottom style="dotted">
        <color rgb="FF0070C0"/>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tted">
        <color rgb="FF0070C0"/>
      </left>
      <right style="thin">
        <color indexed="64"/>
      </right>
      <top style="dotted">
        <color rgb="FF0070C0"/>
      </top>
      <bottom style="dotted">
        <color rgb="FF0070C0"/>
      </bottom>
      <diagonal/>
    </border>
    <border>
      <left style="thin">
        <color indexed="64"/>
      </left>
      <right/>
      <top/>
      <bottom style="double">
        <color indexed="64"/>
      </bottom>
      <diagonal/>
    </border>
    <border>
      <left/>
      <right style="thin">
        <color indexed="64"/>
      </right>
      <top/>
      <bottom style="double">
        <color indexed="64"/>
      </bottom>
      <diagonal/>
    </border>
    <border>
      <left/>
      <right/>
      <top style="dotted">
        <color rgb="FF0070C0"/>
      </top>
      <bottom/>
      <diagonal/>
    </border>
    <border>
      <left style="thin">
        <color indexed="64"/>
      </left>
      <right style="thin">
        <color indexed="64"/>
      </right>
      <top style="dotted">
        <color rgb="FF0070C0"/>
      </top>
      <bottom/>
      <diagonal/>
    </border>
    <border>
      <left style="dotted">
        <color rgb="FF0070C0"/>
      </left>
      <right/>
      <top style="dotted">
        <color rgb="FF0070C0"/>
      </top>
      <bottom/>
      <diagonal/>
    </border>
    <border>
      <left/>
      <right style="thin">
        <color indexed="64"/>
      </right>
      <top style="dotted">
        <color rgb="FF0070C0"/>
      </top>
      <bottom/>
      <diagonal/>
    </border>
    <border>
      <left style="dotted">
        <color rgb="FF0070C0"/>
      </left>
      <right style="dotted">
        <color rgb="FF0070C0"/>
      </right>
      <top style="dotted">
        <color rgb="FF0070C0"/>
      </top>
      <bottom/>
      <diagonal/>
    </border>
    <border>
      <left/>
      <right style="medium">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dotted">
        <color rgb="FF0070C0"/>
      </left>
      <right style="medium">
        <color indexed="64"/>
      </right>
      <top style="dotted">
        <color rgb="FF0070C0"/>
      </top>
      <bottom style="dotted">
        <color rgb="FF0070C0"/>
      </bottom>
      <diagonal/>
    </border>
    <border>
      <left style="medium">
        <color indexed="64"/>
      </left>
      <right/>
      <top/>
      <bottom style="medium">
        <color indexed="64"/>
      </bottom>
      <diagonal/>
    </border>
    <border>
      <left/>
      <right/>
      <top style="medium">
        <color indexed="64"/>
      </top>
      <bottom/>
      <diagonal/>
    </border>
    <border>
      <left style="medium">
        <color indexed="64"/>
      </left>
      <right/>
      <top/>
      <bottom style="dotted">
        <color indexed="64"/>
      </bottom>
      <diagonal/>
    </border>
    <border>
      <left/>
      <right style="medium">
        <color indexed="64"/>
      </right>
      <top/>
      <bottom style="dotted">
        <color indexed="64"/>
      </bottom>
      <diagonal/>
    </border>
    <border>
      <left/>
      <right/>
      <top/>
      <bottom style="medium">
        <color indexed="64"/>
      </bottom>
      <diagonal/>
    </border>
    <border>
      <left/>
      <right style="medium">
        <color indexed="64"/>
      </right>
      <top/>
      <bottom style="medium">
        <color indexed="64"/>
      </bottom>
      <diagonal/>
    </border>
    <border>
      <left style="dotted">
        <color rgb="FF0070C0"/>
      </left>
      <right style="dotted">
        <color rgb="FF0070C0"/>
      </right>
      <top style="thin">
        <color indexed="64"/>
      </top>
      <bottom style="dotted">
        <color rgb="FF0070C0"/>
      </bottom>
      <diagonal/>
    </border>
    <border>
      <left style="dotted">
        <color rgb="FF0070C0"/>
      </left>
      <right style="thin">
        <color indexed="64"/>
      </right>
      <top style="thin">
        <color indexed="64"/>
      </top>
      <bottom style="dotted">
        <color rgb="FF0070C0"/>
      </bottom>
      <diagonal/>
    </border>
    <border>
      <left/>
      <right/>
      <top style="thin">
        <color indexed="64"/>
      </top>
      <bottom style="dotted">
        <color rgb="FF0070C0"/>
      </bottom>
      <diagonal/>
    </border>
    <border>
      <left/>
      <right style="thin">
        <color indexed="64"/>
      </right>
      <top style="thin">
        <color indexed="64"/>
      </top>
      <bottom style="dotted">
        <color rgb="FF0070C0"/>
      </bottom>
      <diagonal/>
    </border>
    <border>
      <left style="thin">
        <color indexed="64"/>
      </left>
      <right style="thin">
        <color indexed="64"/>
      </right>
      <top style="thin">
        <color indexed="64"/>
      </top>
      <bottom style="dotted">
        <color rgb="FF0070C0"/>
      </bottom>
      <diagonal/>
    </border>
    <border>
      <left style="dotted">
        <color rgb="FF0070C0"/>
      </left>
      <right style="thin">
        <color indexed="64"/>
      </right>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dotted">
        <color rgb="FF0070C0"/>
      </left>
      <right style="thin">
        <color indexed="64"/>
      </right>
      <top/>
      <bottom/>
      <diagonal/>
    </border>
    <border>
      <left/>
      <right style="thin">
        <color indexed="64"/>
      </right>
      <top style="double">
        <color indexed="64"/>
      </top>
      <bottom/>
      <diagonal/>
    </border>
    <border>
      <left style="thin">
        <color indexed="64"/>
      </left>
      <right/>
      <top style="thin">
        <color indexed="64"/>
      </top>
      <bottom style="dotted">
        <color rgb="FF0070C0"/>
      </bottom>
      <diagonal/>
    </border>
    <border>
      <left style="dotted">
        <color rgb="FF0070C0"/>
      </left>
      <right/>
      <top style="thin">
        <color indexed="64"/>
      </top>
      <bottom style="dotted">
        <color rgb="FF0070C0"/>
      </bottom>
      <diagonal/>
    </border>
    <border>
      <left style="thin">
        <color indexed="64"/>
      </left>
      <right/>
      <top style="dotted">
        <color rgb="FF0070C0"/>
      </top>
      <bottom style="dotted">
        <color rgb="FF0070C0"/>
      </bottom>
      <diagonal/>
    </border>
    <border>
      <left style="thin">
        <color indexed="64"/>
      </left>
      <right/>
      <top style="dotted">
        <color rgb="FF0070C0"/>
      </top>
      <bottom style="thin">
        <color indexed="64"/>
      </bottom>
      <diagonal/>
    </border>
    <border>
      <left style="thin">
        <color indexed="64"/>
      </left>
      <right/>
      <top style="dotted">
        <color rgb="FF0070C0"/>
      </top>
      <bottom/>
      <diagonal/>
    </border>
    <border>
      <left style="thin">
        <color auto="1"/>
      </left>
      <right style="medium">
        <color indexed="64"/>
      </right>
      <top style="thin">
        <color auto="1"/>
      </top>
      <bottom/>
      <diagonal/>
    </border>
    <border>
      <left style="dotted">
        <color indexed="64"/>
      </left>
      <right/>
      <top/>
      <bottom style="thin">
        <color indexed="64"/>
      </bottom>
      <diagonal/>
    </border>
    <border>
      <left style="dotted">
        <color indexed="64"/>
      </left>
      <right/>
      <top style="dotted">
        <color rgb="FF0070C0"/>
      </top>
      <bottom style="dotted">
        <color rgb="FF0070C0"/>
      </bottom>
      <diagonal/>
    </border>
    <border>
      <left style="dotted">
        <color indexed="64"/>
      </left>
      <right/>
      <top style="thin">
        <color indexed="64"/>
      </top>
      <bottom style="dotted">
        <color rgb="FF0070C0"/>
      </bottom>
      <diagonal/>
    </border>
    <border>
      <left style="dotted">
        <color indexed="64"/>
      </left>
      <right/>
      <top style="dotted">
        <color rgb="FF0070C0"/>
      </top>
      <bottom style="thin">
        <color indexed="64"/>
      </bottom>
      <diagonal/>
    </border>
    <border>
      <left style="dotted">
        <color rgb="FF0070C0"/>
      </left>
      <right style="dotted">
        <color rgb="FF0070C0"/>
      </right>
      <top/>
      <bottom style="dotted">
        <color rgb="FF0070C0"/>
      </bottom>
      <diagonal/>
    </border>
    <border>
      <left/>
      <right/>
      <top/>
      <bottom style="dotted">
        <color rgb="FF0070C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rgb="FF0070C0"/>
      </right>
      <top style="dotted">
        <color rgb="FF0070C0"/>
      </top>
      <bottom style="thin">
        <color indexed="64"/>
      </bottom>
      <diagonal/>
    </border>
    <border>
      <left/>
      <right style="dotted">
        <color rgb="FF0070C0"/>
      </right>
      <top style="thin">
        <color indexed="64"/>
      </top>
      <bottom style="dotted">
        <color rgb="FF0070C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dotted">
        <color rgb="FF0070C0"/>
      </left>
      <right style="medium">
        <color indexed="64"/>
      </right>
      <top style="medium">
        <color indexed="64"/>
      </top>
      <bottom style="dotted">
        <color rgb="FF0070C0"/>
      </bottom>
      <diagonal/>
    </border>
    <border>
      <left/>
      <right style="medium">
        <color indexed="64"/>
      </right>
      <top style="dotted">
        <color rgb="FF0070C0"/>
      </top>
      <bottom style="dotted">
        <color rgb="FF0070C0"/>
      </bottom>
      <diagonal/>
    </border>
    <border>
      <left/>
      <right style="medium">
        <color indexed="64"/>
      </right>
      <top style="dotted">
        <color rgb="FF0070C0"/>
      </top>
      <bottom style="medium">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tted">
        <color rgb="FF0070C0"/>
      </left>
      <right style="thin">
        <color indexed="64"/>
      </right>
      <top style="dotted">
        <color rgb="FF0070C0"/>
      </top>
      <bottom/>
      <diagonal/>
    </border>
    <border>
      <left style="medium">
        <color indexed="64"/>
      </left>
      <right style="thin">
        <color indexed="64"/>
      </right>
      <top/>
      <bottom/>
      <diagonal/>
    </border>
    <border>
      <left style="medium">
        <color indexed="64"/>
      </left>
      <right style="thin">
        <color indexed="64"/>
      </right>
      <top style="dotted">
        <color rgb="FF0070C0"/>
      </top>
      <bottom style="dotted">
        <color rgb="FF0070C0"/>
      </bottom>
      <diagonal/>
    </border>
    <border>
      <left style="medium">
        <color indexed="64"/>
      </left>
      <right/>
      <top style="dotted">
        <color rgb="FF0070C0"/>
      </top>
      <bottom style="dotted">
        <color rgb="FF0070C0"/>
      </bottom>
      <diagonal/>
    </border>
    <border>
      <left style="medium">
        <color indexed="64"/>
      </left>
      <right style="thin">
        <color indexed="64"/>
      </right>
      <top style="dotted">
        <color rgb="FF0070C0"/>
      </top>
      <bottom/>
      <diagonal/>
    </border>
  </borders>
  <cellStyleXfs count="10">
    <xf numFmtId="0" fontId="0" fillId="0" borderId="0"/>
    <xf numFmtId="165" fontId="13" fillId="0" borderId="2">
      <alignment horizontal="right"/>
    </xf>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10" fontId="15" fillId="4" borderId="13" applyNumberFormat="0" applyAlignment="0">
      <protection locked="0"/>
    </xf>
    <xf numFmtId="168" fontId="16" fillId="4" borderId="14" applyNumberFormat="0" applyFill="0" applyAlignment="0">
      <alignment horizontal="left" vertical="center"/>
      <protection locked="0"/>
    </xf>
    <xf numFmtId="0" fontId="17" fillId="0" borderId="0"/>
    <xf numFmtId="0" fontId="40" fillId="0" borderId="0" applyNumberFormat="0" applyFill="0" applyBorder="0" applyAlignment="0" applyProtection="0"/>
    <xf numFmtId="0" fontId="49" fillId="15" borderId="0" applyAlignment="0">
      <alignment vertical="center"/>
    </xf>
  </cellStyleXfs>
  <cellXfs count="963">
    <xf numFmtId="0" fontId="0" fillId="0" borderId="0" xfId="0"/>
    <xf numFmtId="0" fontId="3" fillId="0" borderId="0" xfId="0" applyFont="1" applyAlignment="1" applyProtection="1">
      <alignment horizontal="right" vertical="center"/>
      <protection locked="0"/>
    </xf>
    <xf numFmtId="10" fontId="4" fillId="0" borderId="0" xfId="4" applyNumberFormat="1" applyFont="1" applyFill="1" applyBorder="1" applyAlignment="1" applyProtection="1">
      <alignment horizontal="center" vertical="center"/>
      <protection locked="0"/>
    </xf>
    <xf numFmtId="0" fontId="3" fillId="0" borderId="0" xfId="0" applyFont="1" applyAlignment="1" applyProtection="1">
      <alignment vertical="center"/>
      <protection locked="0"/>
    </xf>
    <xf numFmtId="164" fontId="4" fillId="0" borderId="0" xfId="3" applyNumberFormat="1" applyFont="1" applyFill="1" applyBorder="1" applyAlignment="1">
      <alignment horizontal="right" vertical="center"/>
    </xf>
    <xf numFmtId="164" fontId="4" fillId="0" borderId="0" xfId="3" applyNumberFormat="1" applyFont="1" applyFill="1" applyBorder="1" applyAlignment="1">
      <alignment vertical="center"/>
    </xf>
    <xf numFmtId="0" fontId="20" fillId="5" borderId="0" xfId="0" applyFont="1" applyFill="1"/>
    <xf numFmtId="0" fontId="14" fillId="5" borderId="0" xfId="0" applyFont="1" applyFill="1"/>
    <xf numFmtId="0" fontId="14" fillId="5" borderId="0" xfId="0" applyFont="1" applyFill="1" applyAlignment="1">
      <alignment horizontal="right"/>
    </xf>
    <xf numFmtId="0" fontId="14" fillId="0" borderId="0" xfId="0" applyFont="1"/>
    <xf numFmtId="0" fontId="9" fillId="0" borderId="0" xfId="0" applyFont="1" applyAlignment="1" applyProtection="1">
      <alignment vertical="center"/>
      <protection locked="0"/>
    </xf>
    <xf numFmtId="44" fontId="4" fillId="0" borderId="9" xfId="0" applyNumberFormat="1" applyFont="1" applyBorder="1" applyAlignment="1" applyProtection="1">
      <alignment horizontal="right" vertical="center"/>
      <protection locked="0"/>
    </xf>
    <xf numFmtId="0" fontId="4" fillId="0" borderId="9" xfId="0" applyFont="1" applyBorder="1" applyAlignment="1" applyProtection="1">
      <alignment horizontal="right" vertical="center" wrapText="1"/>
      <protection locked="0"/>
    </xf>
    <xf numFmtId="0" fontId="9" fillId="0" borderId="17" xfId="0" applyFont="1" applyBorder="1" applyAlignment="1" applyProtection="1">
      <alignment horizontal="center" vertical="center"/>
      <protection locked="0"/>
    </xf>
    <xf numFmtId="164" fontId="4" fillId="0" borderId="0" xfId="3" applyNumberFormat="1" applyFont="1" applyFill="1" applyBorder="1" applyAlignment="1" applyProtection="1">
      <alignment horizontal="center" vertical="center" wrapText="1"/>
    </xf>
    <xf numFmtId="0" fontId="4" fillId="0" borderId="9" xfId="0" applyFont="1" applyBorder="1" applyAlignment="1" applyProtection="1">
      <alignment horizontal="left" vertical="center" wrapText="1"/>
      <protection locked="0"/>
    </xf>
    <xf numFmtId="0" fontId="19" fillId="0" borderId="15" xfId="0" applyFont="1" applyBorder="1" applyAlignment="1">
      <alignment horizontal="center" vertical="center"/>
    </xf>
    <xf numFmtId="0" fontId="19" fillId="0" borderId="12" xfId="0" applyFont="1" applyBorder="1" applyAlignment="1">
      <alignment horizontal="center" vertical="center"/>
    </xf>
    <xf numFmtId="0" fontId="19" fillId="0" borderId="4" xfId="0" applyFont="1" applyBorder="1" applyAlignment="1">
      <alignment horizontal="center" vertical="center"/>
    </xf>
    <xf numFmtId="165" fontId="13" fillId="0" borderId="3" xfId="1" applyBorder="1">
      <alignment horizontal="right"/>
    </xf>
    <xf numFmtId="165" fontId="13" fillId="0" borderId="2" xfId="1">
      <alignment horizontal="right"/>
    </xf>
    <xf numFmtId="0" fontId="10" fillId="0" borderId="4" xfId="0" applyFont="1" applyBorder="1" applyAlignment="1">
      <alignment horizontal="center" vertical="center" wrapText="1"/>
    </xf>
    <xf numFmtId="9" fontId="4" fillId="0" borderId="24" xfId="4" applyFont="1" applyBorder="1" applyAlignment="1" applyProtection="1">
      <alignment horizontal="center" vertical="center"/>
      <protection locked="0"/>
    </xf>
    <xf numFmtId="167" fontId="4" fillId="0" borderId="24" xfId="4" applyNumberFormat="1" applyFont="1" applyBorder="1" applyAlignment="1" applyProtection="1">
      <alignment horizontal="center" vertical="center"/>
      <protection locked="0"/>
    </xf>
    <xf numFmtId="165" fontId="4" fillId="0" borderId="24" xfId="4" applyNumberFormat="1"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164" fontId="11" fillId="0" borderId="6" xfId="3" applyNumberFormat="1" applyFont="1" applyFill="1" applyBorder="1" applyAlignment="1" applyProtection="1">
      <alignment horizontal="center" vertical="center"/>
    </xf>
    <xf numFmtId="0" fontId="4" fillId="0" borderId="9" xfId="0" applyFont="1" applyBorder="1" applyAlignment="1" applyProtection="1">
      <alignment horizontal="right" vertical="center"/>
      <protection locked="0"/>
    </xf>
    <xf numFmtId="0" fontId="4" fillId="0" borderId="9" xfId="0" applyFont="1" applyBorder="1" applyAlignment="1" applyProtection="1">
      <alignment horizontal="left" vertical="center"/>
      <protection locked="0"/>
    </xf>
    <xf numFmtId="10" fontId="4" fillId="0" borderId="24" xfId="4" applyNumberFormat="1" applyFont="1" applyBorder="1" applyAlignment="1" applyProtection="1">
      <alignment horizontal="center" vertical="center"/>
      <protection locked="0"/>
    </xf>
    <xf numFmtId="165" fontId="4" fillId="0" borderId="0" xfId="4" applyNumberFormat="1" applyFont="1" applyBorder="1" applyAlignment="1" applyProtection="1">
      <alignment horizontal="center" vertical="center"/>
      <protection locked="0"/>
    </xf>
    <xf numFmtId="0" fontId="19" fillId="0" borderId="9" xfId="0" applyFont="1" applyBorder="1" applyAlignment="1">
      <alignment horizontal="right" vertical="center"/>
    </xf>
    <xf numFmtId="0" fontId="10" fillId="0" borderId="17" xfId="0" applyFont="1" applyBorder="1" applyAlignment="1">
      <alignment horizontal="right" vertical="center" wrapText="1"/>
    </xf>
    <xf numFmtId="0" fontId="4" fillId="0" borderId="0" xfId="0" applyFont="1" applyAlignment="1">
      <alignment horizontal="right" vertical="center"/>
    </xf>
    <xf numFmtId="0" fontId="4" fillId="0" borderId="0" xfId="0" applyFont="1" applyAlignment="1">
      <alignment vertical="center"/>
    </xf>
    <xf numFmtId="0" fontId="4" fillId="0" borderId="0" xfId="0" applyFont="1" applyAlignment="1">
      <alignment vertical="center" wrapText="1"/>
    </xf>
    <xf numFmtId="164" fontId="4" fillId="0" borderId="0" xfId="0" applyNumberFormat="1" applyFont="1" applyAlignment="1">
      <alignment vertical="center"/>
    </xf>
    <xf numFmtId="0" fontId="6" fillId="0" borderId="17" xfId="0" applyFont="1" applyBorder="1" applyAlignment="1">
      <alignment vertical="top" wrapText="1"/>
    </xf>
    <xf numFmtId="0" fontId="6" fillId="0" borderId="5" xfId="0" applyFont="1" applyBorder="1" applyAlignment="1">
      <alignment vertical="top" wrapText="1"/>
    </xf>
    <xf numFmtId="9" fontId="6" fillId="0" borderId="9" xfId="4" applyFont="1" applyFill="1" applyBorder="1" applyAlignment="1">
      <alignment horizontal="center" vertical="top" wrapText="1"/>
    </xf>
    <xf numFmtId="1" fontId="4" fillId="0" borderId="6" xfId="0" applyNumberFormat="1" applyFont="1" applyBorder="1" applyAlignment="1">
      <alignment horizontal="center" vertical="top" shrinkToFit="1"/>
    </xf>
    <xf numFmtId="165" fontId="13" fillId="0" borderId="37" xfId="1" applyBorder="1">
      <alignment horizontal="right"/>
    </xf>
    <xf numFmtId="9" fontId="6" fillId="0" borderId="7" xfId="4" applyFont="1" applyFill="1" applyBorder="1" applyAlignment="1">
      <alignment horizontal="center" vertical="top" wrapText="1"/>
    </xf>
    <xf numFmtId="165" fontId="13" fillId="0" borderId="22" xfId="1" applyBorder="1">
      <alignment horizontal="right"/>
    </xf>
    <xf numFmtId="0" fontId="19" fillId="0" borderId="10" xfId="0" applyFont="1" applyBorder="1" applyAlignment="1">
      <alignment vertical="top"/>
    </xf>
    <xf numFmtId="0" fontId="10" fillId="0" borderId="0" xfId="0" applyFont="1" applyAlignment="1">
      <alignment horizontal="center" vertical="center" wrapText="1"/>
    </xf>
    <xf numFmtId="0" fontId="19" fillId="0" borderId="0" xfId="0" applyFont="1" applyAlignment="1">
      <alignment horizontal="center" vertical="center"/>
    </xf>
    <xf numFmtId="9" fontId="13" fillId="0" borderId="0" xfId="4" applyFont="1" applyBorder="1" applyAlignment="1">
      <alignment horizontal="center" vertical="center"/>
    </xf>
    <xf numFmtId="10" fontId="13" fillId="0" borderId="0" xfId="4" applyNumberFormat="1" applyFont="1" applyBorder="1" applyAlignment="1">
      <alignment horizontal="center" vertical="center"/>
    </xf>
    <xf numFmtId="167" fontId="13" fillId="0" borderId="0" xfId="4" applyNumberFormat="1" applyFont="1" applyBorder="1" applyAlignment="1">
      <alignment horizontal="center" vertical="center"/>
    </xf>
    <xf numFmtId="0" fontId="14" fillId="5" borderId="0" xfId="0" applyFont="1" applyFill="1" applyAlignment="1">
      <alignment vertical="center"/>
    </xf>
    <xf numFmtId="0" fontId="14" fillId="0" borderId="0" xfId="0" applyFont="1" applyAlignment="1">
      <alignment vertical="center"/>
    </xf>
    <xf numFmtId="0" fontId="27" fillId="0" borderId="9" xfId="0" applyFont="1" applyBorder="1" applyAlignment="1" applyProtection="1">
      <alignment horizontal="left" vertical="center"/>
      <protection locked="0"/>
    </xf>
    <xf numFmtId="0" fontId="7" fillId="0" borderId="9" xfId="0" applyFont="1" applyBorder="1" applyAlignment="1" applyProtection="1">
      <alignment vertical="center"/>
      <protection locked="0"/>
    </xf>
    <xf numFmtId="0" fontId="9" fillId="0" borderId="10" xfId="0" applyFont="1" applyBorder="1" applyAlignment="1" applyProtection="1">
      <alignment horizontal="left" vertical="center"/>
      <protection locked="0"/>
    </xf>
    <xf numFmtId="0" fontId="14" fillId="0" borderId="0" xfId="0" applyFont="1" applyAlignment="1">
      <alignment horizontal="center" vertical="center"/>
    </xf>
    <xf numFmtId="0" fontId="14" fillId="0" borderId="0" xfId="0" applyFont="1" applyAlignment="1" applyProtection="1">
      <alignment vertical="center"/>
      <protection locked="0"/>
    </xf>
    <xf numFmtId="0" fontId="14" fillId="5" borderId="0" xfId="0" applyFont="1" applyFill="1" applyAlignment="1">
      <alignment horizontal="center" vertical="center"/>
    </xf>
    <xf numFmtId="0" fontId="9" fillId="0" borderId="23" xfId="0" applyFont="1" applyBorder="1" applyAlignment="1" applyProtection="1">
      <alignment horizontal="center" vertical="center"/>
      <protection locked="0"/>
    </xf>
    <xf numFmtId="1" fontId="4" fillId="0" borderId="24" xfId="4" applyNumberFormat="1" applyFont="1" applyBorder="1" applyAlignment="1" applyProtection="1">
      <alignment horizontal="center" vertical="center"/>
      <protection locked="0"/>
    </xf>
    <xf numFmtId="164" fontId="11" fillId="0" borderId="0" xfId="3" applyNumberFormat="1" applyFont="1" applyFill="1" applyBorder="1" applyAlignment="1" applyProtection="1">
      <alignment horizontal="center" vertical="center"/>
    </xf>
    <xf numFmtId="2" fontId="4" fillId="0" borderId="0" xfId="4" applyNumberFormat="1" applyFont="1" applyBorder="1" applyAlignment="1" applyProtection="1">
      <alignment horizontal="center" vertical="center"/>
      <protection locked="0"/>
    </xf>
    <xf numFmtId="0" fontId="14" fillId="0" borderId="7" xfId="0" applyFont="1" applyBorder="1" applyAlignment="1">
      <alignment horizontal="right" vertical="center"/>
    </xf>
    <xf numFmtId="6" fontId="14" fillId="0" borderId="1" xfId="0" applyNumberFormat="1" applyFont="1" applyBorder="1" applyAlignment="1">
      <alignment horizontal="center" vertical="center"/>
    </xf>
    <xf numFmtId="0" fontId="19" fillId="0" borderId="8" xfId="0" applyFont="1" applyBorder="1" applyAlignment="1">
      <alignment horizontal="center" vertical="center"/>
    </xf>
    <xf numFmtId="2" fontId="4" fillId="0" borderId="27" xfId="4" applyNumberFormat="1" applyFont="1" applyBorder="1" applyAlignment="1" applyProtection="1">
      <alignment horizontal="center" vertical="center"/>
      <protection locked="0"/>
    </xf>
    <xf numFmtId="44" fontId="4" fillId="0" borderId="10" xfId="0" applyNumberFormat="1" applyFont="1" applyBorder="1" applyAlignment="1" applyProtection="1">
      <alignment horizontal="right" vertical="center"/>
      <protection locked="0"/>
    </xf>
    <xf numFmtId="0" fontId="14" fillId="0" borderId="9" xfId="0" applyFont="1" applyBorder="1" applyAlignment="1">
      <alignment vertical="center"/>
    </xf>
    <xf numFmtId="0" fontId="19" fillId="0" borderId="6" xfId="0" applyFont="1" applyBorder="1" applyAlignment="1" applyProtection="1">
      <alignment horizontal="center" vertical="center"/>
      <protection locked="0"/>
    </xf>
    <xf numFmtId="167" fontId="13" fillId="0" borderId="37" xfId="4" applyNumberFormat="1" applyFont="1" applyBorder="1" applyAlignment="1">
      <alignment horizontal="center" vertical="center"/>
    </xf>
    <xf numFmtId="0" fontId="30" fillId="0" borderId="9" xfId="0" applyFont="1" applyBorder="1" applyAlignment="1">
      <alignment vertical="center"/>
    </xf>
    <xf numFmtId="0" fontId="14" fillId="2" borderId="17" xfId="0" applyFont="1" applyFill="1" applyBorder="1" applyAlignment="1">
      <alignment vertical="center"/>
    </xf>
    <xf numFmtId="6" fontId="4" fillId="0" borderId="0" xfId="0" applyNumberFormat="1" applyFont="1" applyAlignment="1" applyProtection="1">
      <alignment horizontal="center" vertical="center"/>
      <protection locked="0"/>
    </xf>
    <xf numFmtId="0" fontId="8" fillId="0" borderId="6" xfId="0" applyFont="1" applyBorder="1" applyAlignment="1">
      <alignment vertical="center"/>
    </xf>
    <xf numFmtId="9" fontId="4" fillId="0" borderId="46" xfId="4" applyFont="1" applyBorder="1" applyAlignment="1" applyProtection="1">
      <alignment horizontal="center" vertical="center"/>
      <protection locked="0"/>
    </xf>
    <xf numFmtId="0" fontId="1" fillId="0" borderId="0" xfId="0" applyFont="1"/>
    <xf numFmtId="0" fontId="26" fillId="0" borderId="0" xfId="0" applyFont="1" applyAlignment="1">
      <alignment wrapText="1"/>
    </xf>
    <xf numFmtId="0" fontId="0" fillId="0" borderId="0" xfId="0" applyAlignment="1">
      <alignment wrapText="1"/>
    </xf>
    <xf numFmtId="0" fontId="33" fillId="2" borderId="49" xfId="0" applyFont="1" applyFill="1" applyBorder="1"/>
    <xf numFmtId="0" fontId="4" fillId="0" borderId="0" xfId="0" applyFont="1" applyAlignment="1" applyProtection="1">
      <alignment horizontal="left" vertical="center"/>
      <protection locked="0"/>
    </xf>
    <xf numFmtId="0" fontId="4" fillId="0" borderId="0" xfId="0" applyFont="1" applyAlignment="1" applyProtection="1">
      <alignment horizontal="left" vertical="center" wrapText="1"/>
      <protection locked="0"/>
    </xf>
    <xf numFmtId="0" fontId="10" fillId="0" borderId="0" xfId="0" applyFont="1" applyAlignment="1">
      <alignment horizontal="center" vertical="center"/>
    </xf>
    <xf numFmtId="0" fontId="31" fillId="0" borderId="0" xfId="0" applyFont="1" applyAlignment="1" applyProtection="1">
      <alignment horizontal="center" vertical="center"/>
      <protection locked="0"/>
    </xf>
    <xf numFmtId="0" fontId="31" fillId="0" borderId="0" xfId="0" applyFont="1" applyAlignment="1" applyProtection="1">
      <alignment horizontal="right" vertical="center"/>
      <protection locked="0"/>
    </xf>
    <xf numFmtId="0" fontId="14" fillId="0" borderId="9" xfId="0" applyFont="1" applyBorder="1" applyAlignment="1">
      <alignment horizontal="right" vertical="center"/>
    </xf>
    <xf numFmtId="6" fontId="14" fillId="0" borderId="0" xfId="0" applyNumberFormat="1" applyFont="1" applyAlignment="1">
      <alignment horizontal="center" vertical="center"/>
    </xf>
    <xf numFmtId="0" fontId="12" fillId="0" borderId="0" xfId="0" applyFont="1" applyAlignment="1">
      <alignment vertical="center"/>
    </xf>
    <xf numFmtId="165" fontId="13" fillId="0" borderId="0" xfId="1" applyBorder="1" applyAlignment="1">
      <alignment horizontal="center" vertical="center" wrapText="1"/>
    </xf>
    <xf numFmtId="44" fontId="4" fillId="0" borderId="7" xfId="0" applyNumberFormat="1" applyFont="1" applyBorder="1" applyAlignment="1" applyProtection="1">
      <alignment horizontal="right" vertical="center"/>
      <protection locked="0"/>
    </xf>
    <xf numFmtId="9" fontId="4" fillId="0" borderId="23" xfId="4" applyFont="1" applyBorder="1" applyAlignment="1" applyProtection="1">
      <alignment horizontal="center" vertical="center"/>
      <protection locked="0"/>
    </xf>
    <xf numFmtId="6" fontId="4" fillId="0" borderId="24" xfId="0" applyNumberFormat="1" applyFont="1" applyBorder="1" applyAlignment="1" applyProtection="1">
      <alignment horizontal="center" vertical="center"/>
      <protection locked="0"/>
    </xf>
    <xf numFmtId="0" fontId="14" fillId="0" borderId="9" xfId="0" applyFont="1" applyBorder="1" applyAlignment="1">
      <alignment horizontal="left" vertical="center"/>
    </xf>
    <xf numFmtId="0" fontId="14" fillId="0" borderId="38" xfId="0" applyFont="1" applyBorder="1" applyAlignment="1">
      <alignment horizontal="left" vertical="center"/>
    </xf>
    <xf numFmtId="0" fontId="29" fillId="0" borderId="9" xfId="0" applyFont="1" applyBorder="1" applyAlignment="1">
      <alignment horizontal="left" vertical="center"/>
    </xf>
    <xf numFmtId="0" fontId="10" fillId="0" borderId="9" xfId="0" applyFont="1" applyBorder="1" applyAlignment="1">
      <alignment horizontal="left" vertical="center"/>
    </xf>
    <xf numFmtId="0" fontId="10" fillId="0" borderId="38" xfId="0" applyFont="1" applyBorder="1" applyAlignment="1">
      <alignment horizontal="left" vertical="center"/>
    </xf>
    <xf numFmtId="0" fontId="14" fillId="0" borderId="10" xfId="0" applyFont="1" applyBorder="1" applyAlignment="1">
      <alignment horizontal="left" vertical="center"/>
    </xf>
    <xf numFmtId="0" fontId="14" fillId="0" borderId="9" xfId="0" applyFont="1" applyBorder="1" applyAlignment="1">
      <alignment horizontal="left" vertical="center" wrapText="1"/>
    </xf>
    <xf numFmtId="0" fontId="14" fillId="0" borderId="7" xfId="0" applyFont="1" applyBorder="1" applyAlignment="1">
      <alignment vertical="center"/>
    </xf>
    <xf numFmtId="0" fontId="20" fillId="5" borderId="0" xfId="0" applyFont="1" applyFill="1" applyAlignment="1">
      <alignment vertical="center"/>
    </xf>
    <xf numFmtId="0" fontId="14" fillId="5" borderId="0" xfId="0" applyFont="1" applyFill="1" applyAlignment="1">
      <alignment horizontal="right" vertical="center"/>
    </xf>
    <xf numFmtId="0" fontId="20" fillId="0" borderId="0" xfId="0" applyFont="1" applyAlignment="1">
      <alignment vertical="center"/>
    </xf>
    <xf numFmtId="0" fontId="14" fillId="0" borderId="0" xfId="0" applyFont="1" applyAlignment="1">
      <alignment horizontal="right" vertical="center"/>
    </xf>
    <xf numFmtId="0" fontId="24" fillId="2" borderId="10" xfId="0" applyFont="1" applyFill="1" applyBorder="1" applyAlignment="1">
      <alignment vertical="center"/>
    </xf>
    <xf numFmtId="0" fontId="21" fillId="2" borderId="17" xfId="0" applyFont="1" applyFill="1" applyBorder="1" applyAlignment="1">
      <alignment vertical="center"/>
    </xf>
    <xf numFmtId="0" fontId="21" fillId="2" borderId="5" xfId="0" applyFont="1" applyFill="1" applyBorder="1" applyAlignment="1">
      <alignment vertical="center"/>
    </xf>
    <xf numFmtId="0" fontId="14" fillId="0" borderId="17" xfId="0" applyFont="1" applyBorder="1" applyAlignment="1">
      <alignment vertical="center"/>
    </xf>
    <xf numFmtId="0" fontId="14" fillId="0" borderId="5" xfId="0" applyFont="1" applyBorder="1" applyAlignment="1">
      <alignment vertical="center"/>
    </xf>
    <xf numFmtId="9" fontId="10" fillId="0" borderId="0" xfId="4" applyFont="1" applyFill="1" applyBorder="1" applyAlignment="1">
      <alignment horizontal="right" vertical="center"/>
    </xf>
    <xf numFmtId="165" fontId="14" fillId="0" borderId="0" xfId="0" applyNumberFormat="1" applyFont="1" applyAlignment="1">
      <alignment vertical="center"/>
    </xf>
    <xf numFmtId="0" fontId="10" fillId="0" borderId="6" xfId="0" applyFont="1" applyBorder="1" applyAlignment="1">
      <alignment vertical="center"/>
    </xf>
    <xf numFmtId="0" fontId="10" fillId="0" borderId="0" xfId="0" applyFont="1" applyAlignment="1">
      <alignment vertical="center"/>
    </xf>
    <xf numFmtId="0" fontId="10" fillId="0" borderId="9" xfId="0" applyFont="1" applyBorder="1" applyAlignment="1">
      <alignment horizontal="center" vertical="center"/>
    </xf>
    <xf numFmtId="170" fontId="10" fillId="0" borderId="0" xfId="0" applyNumberFormat="1" applyFont="1" applyAlignment="1">
      <alignment horizontal="center" vertical="center"/>
    </xf>
    <xf numFmtId="0" fontId="14" fillId="0" borderId="6" xfId="0" applyFont="1" applyBorder="1" applyAlignment="1">
      <alignment vertical="center"/>
    </xf>
    <xf numFmtId="5" fontId="14" fillId="0" borderId="0" xfId="0" applyNumberFormat="1" applyFont="1" applyAlignment="1">
      <alignment horizontal="right" vertical="center"/>
    </xf>
    <xf numFmtId="9" fontId="14" fillId="0" borderId="6" xfId="4" applyFont="1" applyFill="1" applyBorder="1" applyAlignment="1">
      <alignment horizontal="right" vertical="center"/>
    </xf>
    <xf numFmtId="9" fontId="14" fillId="0" borderId="0" xfId="4" applyFont="1" applyFill="1" applyBorder="1" applyAlignment="1">
      <alignment horizontal="right" vertical="center"/>
    </xf>
    <xf numFmtId="1" fontId="14" fillId="0" borderId="0" xfId="4" applyNumberFormat="1" applyFont="1" applyFill="1" applyBorder="1" applyAlignment="1">
      <alignment horizontal="left" vertical="center"/>
    </xf>
    <xf numFmtId="165" fontId="14" fillId="0" borderId="0" xfId="4" applyNumberFormat="1" applyFont="1" applyFill="1" applyBorder="1" applyAlignment="1">
      <alignment horizontal="left" vertical="center"/>
    </xf>
    <xf numFmtId="165" fontId="22" fillId="0" borderId="6" xfId="6" applyNumberFormat="1" applyFont="1" applyFill="1" applyBorder="1" applyAlignment="1">
      <alignment vertical="center"/>
      <protection locked="0"/>
    </xf>
    <xf numFmtId="165" fontId="14" fillId="0" borderId="0" xfId="3" applyNumberFormat="1" applyFont="1" applyFill="1" applyBorder="1" applyAlignment="1">
      <alignment vertical="center"/>
    </xf>
    <xf numFmtId="0" fontId="30" fillId="0" borderId="9" xfId="0" applyFont="1" applyBorder="1" applyAlignment="1">
      <alignment horizontal="left" vertical="center"/>
    </xf>
    <xf numFmtId="5" fontId="14" fillId="0" borderId="18" xfId="0" applyNumberFormat="1" applyFont="1" applyBorder="1" applyAlignment="1">
      <alignment horizontal="right" vertical="center"/>
    </xf>
    <xf numFmtId="9" fontId="14" fillId="0" borderId="39" xfId="4" applyFont="1" applyFill="1" applyBorder="1" applyAlignment="1">
      <alignment horizontal="right" vertical="center"/>
    </xf>
    <xf numFmtId="49" fontId="14" fillId="0" borderId="9" xfId="0" applyNumberFormat="1" applyFont="1" applyBorder="1" applyAlignment="1">
      <alignment horizontal="center" vertical="center"/>
    </xf>
    <xf numFmtId="9" fontId="14" fillId="0" borderId="0" xfId="4" applyFont="1" applyFill="1" applyBorder="1" applyAlignment="1">
      <alignment horizontal="center" vertical="center"/>
    </xf>
    <xf numFmtId="165" fontId="6" fillId="0" borderId="0" xfId="0" applyNumberFormat="1" applyFont="1" applyAlignment="1">
      <alignment vertical="center"/>
    </xf>
    <xf numFmtId="0" fontId="14" fillId="0" borderId="7" xfId="0" applyFont="1" applyBorder="1" applyAlignment="1">
      <alignment horizontal="left" vertical="center"/>
    </xf>
    <xf numFmtId="165" fontId="14" fillId="0" borderId="1" xfId="0" applyNumberFormat="1" applyFont="1" applyBorder="1" applyAlignment="1">
      <alignment vertical="center"/>
    </xf>
    <xf numFmtId="5" fontId="10" fillId="0" borderId="0" xfId="7" applyNumberFormat="1" applyFont="1" applyAlignment="1">
      <alignment horizontal="right" vertical="center"/>
    </xf>
    <xf numFmtId="9" fontId="10" fillId="0" borderId="6" xfId="4" applyFont="1" applyFill="1" applyBorder="1" applyAlignment="1">
      <alignment horizontal="right" vertical="center"/>
    </xf>
    <xf numFmtId="165" fontId="14" fillId="0" borderId="0" xfId="0" applyNumberFormat="1" applyFont="1" applyAlignment="1">
      <alignment horizontal="center" vertical="center"/>
    </xf>
    <xf numFmtId="0" fontId="10" fillId="0" borderId="9" xfId="0" applyFont="1" applyBorder="1" applyAlignment="1">
      <alignment vertical="center"/>
    </xf>
    <xf numFmtId="165" fontId="10" fillId="0" borderId="0" xfId="0" applyNumberFormat="1" applyFont="1" applyAlignment="1">
      <alignment vertical="center"/>
    </xf>
    <xf numFmtId="5" fontId="14" fillId="0" borderId="0" xfId="7" applyNumberFormat="1" applyFont="1" applyAlignment="1">
      <alignment horizontal="right" vertical="center"/>
    </xf>
    <xf numFmtId="9" fontId="12" fillId="0" borderId="0" xfId="4" applyFont="1" applyFill="1" applyBorder="1" applyAlignment="1">
      <alignment horizontal="right" vertical="center"/>
    </xf>
    <xf numFmtId="165" fontId="34" fillId="0" borderId="0" xfId="0" applyNumberFormat="1" applyFont="1" applyAlignment="1">
      <alignment vertical="center"/>
    </xf>
    <xf numFmtId="0" fontId="12" fillId="0" borderId="6" xfId="0" applyFont="1" applyBorder="1" applyAlignment="1">
      <alignment vertical="center"/>
    </xf>
    <xf numFmtId="5" fontId="19" fillId="0" borderId="18" xfId="0" applyNumberFormat="1" applyFont="1" applyBorder="1" applyAlignment="1">
      <alignment horizontal="right" vertical="center"/>
    </xf>
    <xf numFmtId="9" fontId="19" fillId="0" borderId="39" xfId="0" applyNumberFormat="1" applyFont="1" applyBorder="1" applyAlignment="1">
      <alignment horizontal="right" vertical="center"/>
    </xf>
    <xf numFmtId="5" fontId="19" fillId="0" borderId="0" xfId="0" applyNumberFormat="1" applyFont="1" applyAlignment="1">
      <alignment horizontal="right" vertical="center"/>
    </xf>
    <xf numFmtId="9" fontId="19" fillId="0" borderId="6" xfId="0" applyNumberFormat="1" applyFont="1" applyBorder="1" applyAlignment="1">
      <alignment horizontal="right" vertical="center"/>
    </xf>
    <xf numFmtId="0" fontId="10" fillId="0" borderId="38" xfId="0" applyFont="1" applyBorder="1" applyAlignment="1">
      <alignment vertical="center"/>
    </xf>
    <xf numFmtId="165" fontId="10" fillId="0" borderId="18" xfId="0" applyNumberFormat="1" applyFont="1" applyBorder="1" applyAlignment="1">
      <alignment vertical="center"/>
    </xf>
    <xf numFmtId="5" fontId="14" fillId="0" borderId="17" xfId="0" applyNumberFormat="1" applyFont="1" applyBorder="1" applyAlignment="1">
      <alignment horizontal="right" vertical="center"/>
    </xf>
    <xf numFmtId="9" fontId="14" fillId="0" borderId="5" xfId="4" applyFont="1" applyFill="1" applyBorder="1" applyAlignment="1">
      <alignment horizontal="right" vertical="center"/>
    </xf>
    <xf numFmtId="9" fontId="6" fillId="0" borderId="0" xfId="0" applyNumberFormat="1" applyFont="1" applyAlignment="1">
      <alignment horizontal="right" vertical="center"/>
    </xf>
    <xf numFmtId="0" fontId="32" fillId="0" borderId="9" xfId="0" applyFont="1" applyBorder="1" applyAlignment="1">
      <alignment horizontal="right" vertical="center"/>
    </xf>
    <xf numFmtId="2" fontId="32" fillId="0" borderId="0" xfId="0" applyNumberFormat="1" applyFont="1" applyAlignment="1">
      <alignment vertical="center"/>
    </xf>
    <xf numFmtId="165" fontId="19" fillId="0" borderId="0" xfId="0" applyNumberFormat="1" applyFont="1" applyAlignment="1">
      <alignment vertical="center"/>
    </xf>
    <xf numFmtId="0" fontId="4" fillId="0" borderId="0" xfId="0" applyFont="1" applyAlignment="1" applyProtection="1">
      <alignment vertical="center"/>
      <protection locked="0"/>
    </xf>
    <xf numFmtId="0" fontId="12" fillId="0" borderId="0" xfId="0" applyFont="1" applyAlignment="1">
      <alignment horizontal="right" vertical="center"/>
    </xf>
    <xf numFmtId="0" fontId="35" fillId="0" borderId="0" xfId="0" applyFont="1" applyAlignment="1" applyProtection="1">
      <alignment vertical="center"/>
      <protection locked="0"/>
    </xf>
    <xf numFmtId="0" fontId="23" fillId="0" borderId="0" xfId="0" applyFont="1" applyAlignment="1" applyProtection="1">
      <alignment horizontal="center" vertical="center"/>
      <protection locked="0"/>
    </xf>
    <xf numFmtId="0" fontId="4" fillId="0" borderId="5" xfId="0" applyFont="1" applyBorder="1" applyAlignment="1">
      <alignment vertical="center"/>
    </xf>
    <xf numFmtId="0" fontId="19" fillId="0" borderId="0" xfId="0" applyFont="1" applyAlignment="1" applyProtection="1">
      <alignment horizontal="left" vertical="center"/>
      <protection locked="0"/>
    </xf>
    <xf numFmtId="0" fontId="19" fillId="0" borderId="0" xfId="0" applyFont="1" applyAlignment="1" applyProtection="1">
      <alignment horizontal="right" vertical="center"/>
      <protection locked="0"/>
    </xf>
    <xf numFmtId="0" fontId="19" fillId="0" borderId="6" xfId="0" applyFont="1" applyBorder="1" applyAlignment="1" applyProtection="1">
      <alignment horizontal="right" vertical="center"/>
      <protection locked="0"/>
    </xf>
    <xf numFmtId="165" fontId="14" fillId="0" borderId="6" xfId="0" applyNumberFormat="1" applyFont="1" applyBorder="1" applyAlignment="1">
      <alignment horizontal="right" vertical="center"/>
    </xf>
    <xf numFmtId="165" fontId="14" fillId="0" borderId="0" xfId="0" applyNumberFormat="1" applyFont="1" applyAlignment="1">
      <alignment horizontal="right" vertical="center"/>
    </xf>
    <xf numFmtId="0" fontId="12" fillId="0" borderId="9" xfId="0" applyFont="1" applyBorder="1" applyAlignment="1">
      <alignment vertical="center"/>
    </xf>
    <xf numFmtId="9" fontId="6" fillId="0" borderId="39" xfId="4" applyFont="1" applyFill="1" applyBorder="1" applyAlignment="1">
      <alignment horizontal="right" vertical="center"/>
    </xf>
    <xf numFmtId="0" fontId="9" fillId="0" borderId="23" xfId="0" applyFont="1" applyBorder="1" applyAlignment="1" applyProtection="1">
      <alignment horizontal="left" vertical="center"/>
      <protection locked="0"/>
    </xf>
    <xf numFmtId="0" fontId="4" fillId="0" borderId="17"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14" fillId="0" borderId="1" xfId="0" applyFont="1" applyBorder="1" applyAlignment="1">
      <alignment horizontal="right" vertical="center"/>
    </xf>
    <xf numFmtId="0" fontId="14" fillId="0" borderId="11" xfId="0" applyFont="1" applyBorder="1" applyAlignment="1">
      <alignment horizontal="right" vertical="center"/>
    </xf>
    <xf numFmtId="0" fontId="14" fillId="0" borderId="1" xfId="0" applyFont="1" applyBorder="1" applyAlignment="1">
      <alignment vertical="center"/>
    </xf>
    <xf numFmtId="0" fontId="14" fillId="0" borderId="11" xfId="0" applyFont="1" applyBorder="1" applyAlignment="1">
      <alignment vertical="center"/>
    </xf>
    <xf numFmtId="0" fontId="4" fillId="0" borderId="7"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165" fontId="14" fillId="0" borderId="63" xfId="0" applyNumberFormat="1" applyFont="1" applyBorder="1" applyAlignment="1">
      <alignment horizontal="right" vertical="center"/>
    </xf>
    <xf numFmtId="0" fontId="9" fillId="0" borderId="9" xfId="0" applyFont="1" applyBorder="1" applyAlignment="1" applyProtection="1">
      <alignment horizontal="left" vertical="center"/>
      <protection locked="0"/>
    </xf>
    <xf numFmtId="0" fontId="9" fillId="0" borderId="0" xfId="0" applyFont="1" applyAlignment="1" applyProtection="1">
      <alignment horizontal="left" vertical="center"/>
      <protection locked="0"/>
    </xf>
    <xf numFmtId="165" fontId="19" fillId="0" borderId="0" xfId="1" applyFont="1" applyBorder="1" applyAlignment="1">
      <alignment horizontal="right" vertical="center"/>
    </xf>
    <xf numFmtId="165" fontId="19" fillId="0" borderId="0" xfId="0" applyNumberFormat="1" applyFont="1" applyAlignment="1">
      <alignment horizontal="right" vertical="center"/>
    </xf>
    <xf numFmtId="165" fontId="13" fillId="0" borderId="0" xfId="1" applyBorder="1" applyAlignment="1">
      <alignment horizontal="right" vertical="center"/>
    </xf>
    <xf numFmtId="0" fontId="4" fillId="0" borderId="0" xfId="0" applyFont="1" applyAlignment="1">
      <alignment horizontal="center" vertical="center"/>
    </xf>
    <xf numFmtId="0" fontId="28" fillId="0" borderId="9"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4" fillId="0" borderId="6" xfId="0" applyFont="1" applyBorder="1" applyAlignment="1">
      <alignment horizontal="center"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0" borderId="0" xfId="0" applyFont="1" applyAlignment="1">
      <alignment horizontal="center" vertical="center" wrapText="1"/>
    </xf>
    <xf numFmtId="5" fontId="14" fillId="0" borderId="0" xfId="0" applyNumberFormat="1" applyFont="1" applyAlignment="1">
      <alignment vertical="center"/>
    </xf>
    <xf numFmtId="0" fontId="9" fillId="0" borderId="46" xfId="0" applyFont="1" applyBorder="1" applyAlignment="1" applyProtection="1">
      <alignment horizontal="left" vertical="center"/>
      <protection locked="0"/>
    </xf>
    <xf numFmtId="49" fontId="13" fillId="0" borderId="58" xfId="1" applyNumberFormat="1" applyBorder="1" applyAlignment="1">
      <alignment horizontal="center" vertical="center"/>
    </xf>
    <xf numFmtId="49" fontId="13" fillId="0" borderId="59" xfId="1" applyNumberFormat="1" applyBorder="1" applyAlignment="1">
      <alignment horizontal="center" vertical="center"/>
    </xf>
    <xf numFmtId="165" fontId="13" fillId="0" borderId="0" xfId="1" applyBorder="1" applyAlignment="1">
      <alignment horizontal="center" vertical="center"/>
    </xf>
    <xf numFmtId="2" fontId="13" fillId="0" borderId="17" xfId="4" applyNumberFormat="1" applyFont="1" applyBorder="1" applyAlignment="1">
      <alignment horizontal="center" vertical="center"/>
    </xf>
    <xf numFmtId="2" fontId="13" fillId="0" borderId="5" xfId="4" applyNumberFormat="1" applyFont="1" applyBorder="1" applyAlignment="1">
      <alignment horizontal="center" vertical="center"/>
    </xf>
    <xf numFmtId="43" fontId="4" fillId="0" borderId="0" xfId="2" applyFont="1" applyFill="1" applyBorder="1" applyAlignment="1">
      <alignment horizontal="right" vertical="center"/>
    </xf>
    <xf numFmtId="2" fontId="13" fillId="0" borderId="0" xfId="4" applyNumberFormat="1" applyFont="1" applyBorder="1" applyAlignment="1">
      <alignment horizontal="center" vertical="center"/>
    </xf>
    <xf numFmtId="2" fontId="13" fillId="0" borderId="6" xfId="4" applyNumberFormat="1" applyFont="1" applyBorder="1" applyAlignment="1">
      <alignment horizontal="center" vertical="center"/>
    </xf>
    <xf numFmtId="166" fontId="4" fillId="0" borderId="0" xfId="0" applyNumberFormat="1" applyFont="1" applyAlignment="1">
      <alignment horizontal="right" vertical="center"/>
    </xf>
    <xf numFmtId="165" fontId="19" fillId="0" borderId="6" xfId="1" applyFont="1" applyBorder="1" applyAlignment="1">
      <alignment horizontal="right" vertical="center"/>
    </xf>
    <xf numFmtId="165" fontId="5" fillId="0" borderId="0" xfId="3" applyNumberFormat="1" applyFont="1" applyFill="1" applyBorder="1" applyAlignment="1" applyProtection="1">
      <alignment horizontal="center" vertical="center"/>
    </xf>
    <xf numFmtId="0" fontId="7" fillId="0" borderId="0" xfId="0" applyFont="1" applyAlignment="1">
      <alignment horizontal="center" vertical="center"/>
    </xf>
    <xf numFmtId="165" fontId="5" fillId="0" borderId="1" xfId="3" applyNumberFormat="1" applyFont="1" applyFill="1" applyBorder="1" applyAlignment="1" applyProtection="1">
      <alignment horizontal="center" vertical="center"/>
    </xf>
    <xf numFmtId="2" fontId="4" fillId="0" borderId="0" xfId="0" applyNumberFormat="1" applyFont="1" applyAlignment="1">
      <alignment vertical="center"/>
    </xf>
    <xf numFmtId="6" fontId="4" fillId="0" borderId="0" xfId="0" applyNumberFormat="1" applyFont="1" applyAlignment="1">
      <alignment vertical="center" wrapText="1"/>
    </xf>
    <xf numFmtId="0" fontId="7" fillId="0" borderId="0" xfId="0" applyFont="1" applyAlignment="1">
      <alignment horizontal="center" vertical="center" wrapText="1"/>
    </xf>
    <xf numFmtId="0" fontId="14" fillId="0" borderId="0" xfId="0" applyFont="1" applyAlignment="1">
      <alignment horizontal="left" vertical="center"/>
    </xf>
    <xf numFmtId="0" fontId="7" fillId="0" borderId="6" xfId="0" applyFont="1" applyBorder="1" applyAlignment="1">
      <alignment horizontal="center" vertical="center"/>
    </xf>
    <xf numFmtId="0" fontId="7" fillId="0" borderId="0" xfId="0" applyFont="1" applyAlignment="1">
      <alignment vertical="center" wrapText="1"/>
    </xf>
    <xf numFmtId="0" fontId="4" fillId="0" borderId="7" xfId="0" applyFont="1" applyBorder="1" applyAlignment="1" applyProtection="1">
      <alignment vertical="center"/>
      <protection locked="0"/>
    </xf>
    <xf numFmtId="0" fontId="4" fillId="0" borderId="1" xfId="0" applyFont="1" applyBorder="1" applyAlignment="1" applyProtection="1">
      <alignment vertical="center"/>
      <protection locked="0"/>
    </xf>
    <xf numFmtId="165" fontId="14" fillId="0" borderId="26" xfId="0" applyNumberFormat="1" applyFont="1" applyBorder="1" applyAlignment="1">
      <alignment horizontal="right" vertical="center"/>
    </xf>
    <xf numFmtId="165" fontId="14" fillId="0" borderId="11" xfId="0" applyNumberFormat="1" applyFont="1" applyBorder="1" applyAlignment="1">
      <alignment horizontal="right" vertical="center"/>
    </xf>
    <xf numFmtId="10" fontId="13" fillId="0" borderId="6" xfId="4" applyNumberFormat="1" applyFont="1" applyBorder="1" applyAlignment="1">
      <alignment horizontal="center" vertical="center"/>
    </xf>
    <xf numFmtId="5" fontId="4" fillId="0" borderId="0" xfId="0" applyNumberFormat="1" applyFont="1" applyAlignment="1">
      <alignment vertical="center"/>
    </xf>
    <xf numFmtId="0" fontId="10" fillId="0" borderId="0" xfId="0" applyFont="1" applyAlignment="1">
      <alignment horizontal="left" vertical="center"/>
    </xf>
    <xf numFmtId="0" fontId="4" fillId="0" borderId="6" xfId="0" applyFont="1" applyBorder="1" applyAlignment="1" applyProtection="1">
      <alignment horizontal="center" vertical="center"/>
      <protection locked="0"/>
    </xf>
    <xf numFmtId="166" fontId="4" fillId="0" borderId="0" xfId="0" applyNumberFormat="1" applyFont="1" applyAlignment="1">
      <alignment vertical="center"/>
    </xf>
    <xf numFmtId="167" fontId="4" fillId="0" borderId="0" xfId="4" applyNumberFormat="1" applyFont="1" applyFill="1" applyBorder="1" applyAlignment="1">
      <alignment vertical="center"/>
    </xf>
    <xf numFmtId="0" fontId="38" fillId="0" borderId="6" xfId="0" applyFont="1" applyBorder="1" applyAlignment="1" applyProtection="1">
      <alignment horizontal="center" vertical="center"/>
      <protection locked="0"/>
    </xf>
    <xf numFmtId="165" fontId="14" fillId="0" borderId="0" xfId="0" applyNumberFormat="1" applyFont="1" applyAlignment="1" applyProtection="1">
      <alignment horizontal="center" vertical="center"/>
      <protection locked="0"/>
    </xf>
    <xf numFmtId="165" fontId="10" fillId="0" borderId="0" xfId="0" applyNumberFormat="1" applyFont="1" applyAlignment="1" applyProtection="1">
      <alignment horizontal="center" vertical="center"/>
      <protection locked="0"/>
    </xf>
    <xf numFmtId="0" fontId="4" fillId="0" borderId="0" xfId="0" applyFont="1" applyAlignment="1" applyProtection="1">
      <alignment vertical="center" wrapText="1"/>
      <protection locked="0"/>
    </xf>
    <xf numFmtId="0" fontId="9" fillId="0" borderId="10" xfId="0" applyFont="1" applyBorder="1" applyAlignment="1" applyProtection="1">
      <alignment horizontal="left" vertical="center" wrapText="1"/>
      <protection locked="0"/>
    </xf>
    <xf numFmtId="10" fontId="9" fillId="0" borderId="0" xfId="4" applyNumberFormat="1" applyFont="1" applyFill="1" applyBorder="1" applyAlignment="1">
      <alignment vertical="center"/>
    </xf>
    <xf numFmtId="49" fontId="13" fillId="0" borderId="61" xfId="1" applyNumberFormat="1" applyBorder="1" applyAlignment="1">
      <alignment horizontal="center" vertical="center"/>
    </xf>
    <xf numFmtId="49" fontId="13" fillId="0" borderId="62" xfId="1" applyNumberFormat="1" applyBorder="1" applyAlignment="1">
      <alignment horizontal="center" vertical="center"/>
    </xf>
    <xf numFmtId="9" fontId="4" fillId="0" borderId="0" xfId="4" applyFont="1" applyFill="1" applyBorder="1" applyAlignment="1" applyProtection="1">
      <alignment horizontal="center" vertical="center"/>
      <protection locked="0"/>
    </xf>
    <xf numFmtId="0" fontId="4" fillId="0" borderId="5" xfId="0" applyFont="1" applyBorder="1" applyAlignment="1" applyProtection="1">
      <alignment horizontal="center" vertical="center" wrapText="1"/>
      <protection locked="0"/>
    </xf>
    <xf numFmtId="164" fontId="4" fillId="0" borderId="0" xfId="3" applyNumberFormat="1" applyFont="1" applyFill="1" applyBorder="1" applyAlignment="1" applyProtection="1">
      <alignment horizontal="center" vertical="center"/>
      <protection locked="0"/>
    </xf>
    <xf numFmtId="0" fontId="4" fillId="0" borderId="6" xfId="0" applyFont="1" applyBorder="1" applyAlignment="1" applyProtection="1">
      <alignment horizontal="center" vertical="center" wrapText="1"/>
      <protection locked="0"/>
    </xf>
    <xf numFmtId="0" fontId="4" fillId="0" borderId="0" xfId="0" applyFont="1" applyAlignment="1">
      <alignment horizontal="left" vertical="center"/>
    </xf>
    <xf numFmtId="0" fontId="9" fillId="0" borderId="33" xfId="0" applyFont="1" applyBorder="1" applyAlignment="1" applyProtection="1">
      <alignment horizontal="left" vertical="center"/>
      <protection locked="0"/>
    </xf>
    <xf numFmtId="0" fontId="9" fillId="0" borderId="32" xfId="0" applyFont="1" applyBorder="1" applyAlignment="1" applyProtection="1">
      <alignment horizontal="left" vertical="center"/>
      <protection locked="0"/>
    </xf>
    <xf numFmtId="165" fontId="19" fillId="0" borderId="32" xfId="1" applyFont="1" applyBorder="1" applyAlignment="1">
      <alignment horizontal="right" vertical="center"/>
    </xf>
    <xf numFmtId="165" fontId="19" fillId="0" borderId="34" xfId="1" applyFont="1" applyBorder="1" applyAlignment="1">
      <alignment horizontal="right" vertical="center"/>
    </xf>
    <xf numFmtId="0" fontId="14" fillId="0" borderId="17" xfId="0" applyFont="1" applyBorder="1" applyAlignment="1">
      <alignment horizontal="center" vertical="center"/>
    </xf>
    <xf numFmtId="0" fontId="9" fillId="0" borderId="7" xfId="0" applyFont="1" applyBorder="1" applyAlignment="1" applyProtection="1">
      <alignment horizontal="left" vertical="center"/>
      <protection locked="0"/>
    </xf>
    <xf numFmtId="0" fontId="9" fillId="0" borderId="1" xfId="0" applyFont="1" applyBorder="1" applyAlignment="1" applyProtection="1">
      <alignment horizontal="left" vertical="center"/>
      <protection locked="0"/>
    </xf>
    <xf numFmtId="165" fontId="19" fillId="0" borderId="1" xfId="1" applyFont="1" applyBorder="1" applyAlignment="1">
      <alignment horizontal="right" vertical="center"/>
    </xf>
    <xf numFmtId="165" fontId="19" fillId="0" borderId="11" xfId="1" applyFont="1" applyBorder="1" applyAlignment="1">
      <alignment horizontal="right" vertical="center"/>
    </xf>
    <xf numFmtId="167" fontId="4" fillId="0" borderId="0" xfId="0" applyNumberFormat="1" applyFont="1" applyAlignment="1" applyProtection="1">
      <alignment horizontal="right" vertical="center"/>
      <protection locked="0"/>
    </xf>
    <xf numFmtId="0" fontId="4" fillId="0" borderId="0" xfId="0" applyFont="1" applyAlignment="1" applyProtection="1">
      <alignment horizontal="right" vertical="center"/>
      <protection locked="0"/>
    </xf>
    <xf numFmtId="0" fontId="10" fillId="0" borderId="0" xfId="0" applyFont="1" applyAlignment="1" applyProtection="1">
      <alignment horizontal="left" vertical="center"/>
      <protection locked="0"/>
    </xf>
    <xf numFmtId="164" fontId="4" fillId="0" borderId="0" xfId="3" applyNumberFormat="1" applyFont="1" applyFill="1" applyBorder="1" applyAlignment="1" applyProtection="1">
      <alignment horizontal="right" vertical="center"/>
    </xf>
    <xf numFmtId="0" fontId="39" fillId="0" borderId="0" xfId="0" applyFont="1" applyAlignment="1">
      <alignment horizontal="center" vertical="center" wrapText="1"/>
    </xf>
    <xf numFmtId="0" fontId="42" fillId="0" borderId="0" xfId="0" applyFont="1" applyAlignment="1">
      <alignment horizontal="right" wrapText="1"/>
    </xf>
    <xf numFmtId="0" fontId="0" fillId="0" borderId="1" xfId="0" applyBorder="1"/>
    <xf numFmtId="44" fontId="0" fillId="0" borderId="0" xfId="0" applyNumberFormat="1"/>
    <xf numFmtId="0" fontId="0" fillId="0" borderId="0" xfId="0" pivotButton="1"/>
    <xf numFmtId="0" fontId="0" fillId="0" borderId="0" xfId="0" applyAlignment="1">
      <alignment horizontal="left"/>
    </xf>
    <xf numFmtId="0" fontId="1" fillId="7" borderId="0" xfId="0" applyFont="1" applyFill="1"/>
    <xf numFmtId="44" fontId="0" fillId="0" borderId="0" xfId="3" applyFont="1"/>
    <xf numFmtId="9" fontId="0" fillId="0" borderId="0" xfId="4" applyFont="1"/>
    <xf numFmtId="0" fontId="48" fillId="0" borderId="0" xfId="0" applyFont="1"/>
    <xf numFmtId="0" fontId="41" fillId="0" borderId="0" xfId="0" applyFont="1" applyAlignment="1">
      <alignment vertical="center" wrapText="1"/>
    </xf>
    <xf numFmtId="0" fontId="0" fillId="0" borderId="0" xfId="0" applyAlignment="1">
      <alignment vertical="center"/>
    </xf>
    <xf numFmtId="16" fontId="0" fillId="0" borderId="0" xfId="0" applyNumberFormat="1"/>
    <xf numFmtId="2" fontId="0" fillId="0" borderId="0" xfId="0" applyNumberFormat="1"/>
    <xf numFmtId="164" fontId="0" fillId="0" borderId="0" xfId="3" applyNumberFormat="1" applyFont="1"/>
    <xf numFmtId="44" fontId="45" fillId="3" borderId="7" xfId="0" applyNumberFormat="1" applyFont="1" applyFill="1" applyBorder="1"/>
    <xf numFmtId="44" fontId="43" fillId="3" borderId="1" xfId="0" applyNumberFormat="1" applyFont="1" applyFill="1" applyBorder="1"/>
    <xf numFmtId="44" fontId="43" fillId="3" borderId="11" xfId="0" applyNumberFormat="1" applyFont="1" applyFill="1" applyBorder="1"/>
    <xf numFmtId="44" fontId="43" fillId="13" borderId="7" xfId="0" applyNumberFormat="1" applyFont="1" applyFill="1" applyBorder="1" applyAlignment="1">
      <alignment vertical="top" wrapText="1"/>
    </xf>
    <xf numFmtId="44" fontId="43" fillId="13" borderId="1" xfId="0" applyNumberFormat="1" applyFont="1" applyFill="1" applyBorder="1" applyAlignment="1">
      <alignment vertical="top" wrapText="1"/>
    </xf>
    <xf numFmtId="44" fontId="43" fillId="13" borderId="11" xfId="0" applyNumberFormat="1" applyFont="1" applyFill="1" applyBorder="1" applyAlignment="1">
      <alignment vertical="top" wrapText="1"/>
    </xf>
    <xf numFmtId="0" fontId="0" fillId="0" borderId="1" xfId="0"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3" fillId="0" borderId="2" xfId="4" applyNumberFormat="1" applyFont="1" applyBorder="1" applyAlignment="1">
      <alignment horizontal="right" vertical="center"/>
    </xf>
    <xf numFmtId="167" fontId="16" fillId="0" borderId="0" xfId="6" applyNumberFormat="1" applyFill="1" applyBorder="1" applyAlignment="1">
      <alignment horizontal="center"/>
      <protection locked="0"/>
    </xf>
    <xf numFmtId="0" fontId="0" fillId="0" borderId="0" xfId="0" applyAlignment="1">
      <alignment vertical="center" wrapText="1"/>
    </xf>
    <xf numFmtId="165" fontId="16" fillId="0" borderId="0" xfId="6" applyNumberFormat="1" applyFill="1" applyBorder="1" applyAlignment="1">
      <alignment horizontal="center"/>
      <protection locked="0"/>
    </xf>
    <xf numFmtId="0" fontId="1" fillId="0" borderId="0" xfId="0" applyFont="1" applyAlignment="1">
      <alignment vertical="center" wrapText="1"/>
    </xf>
    <xf numFmtId="0" fontId="0" fillId="0" borderId="9" xfId="0" applyBorder="1" applyAlignment="1">
      <alignment wrapText="1"/>
    </xf>
    <xf numFmtId="0" fontId="42" fillId="0" borderId="9" xfId="0" applyFont="1" applyBorder="1" applyAlignment="1">
      <alignment horizontal="right" wrapText="1"/>
    </xf>
    <xf numFmtId="165" fontId="10" fillId="0" borderId="0" xfId="0" applyNumberFormat="1" applyFont="1" applyAlignment="1">
      <alignment horizontal="right" vertical="center"/>
    </xf>
    <xf numFmtId="0" fontId="42" fillId="0" borderId="9" xfId="0" applyFont="1" applyBorder="1" applyAlignment="1">
      <alignment wrapText="1"/>
    </xf>
    <xf numFmtId="0" fontId="51" fillId="0" borderId="9" xfId="8" applyFont="1" applyFill="1" applyBorder="1" applyAlignment="1">
      <alignment horizontal="right" wrapText="1"/>
    </xf>
    <xf numFmtId="10" fontId="14" fillId="0" borderId="0" xfId="0" applyNumberFormat="1" applyFont="1" applyAlignment="1">
      <alignment horizontal="right" vertical="center"/>
    </xf>
    <xf numFmtId="14" fontId="50" fillId="0" borderId="9" xfId="0" applyNumberFormat="1" applyFont="1" applyBorder="1" applyAlignment="1">
      <alignment horizontal="right" vertical="top" wrapText="1"/>
    </xf>
    <xf numFmtId="6" fontId="10" fillId="0" borderId="0" xfId="0" applyNumberFormat="1" applyFont="1" applyAlignment="1">
      <alignment horizontal="right" vertical="center"/>
    </xf>
    <xf numFmtId="0" fontId="17" fillId="0" borderId="0" xfId="7"/>
    <xf numFmtId="0" fontId="0" fillId="0" borderId="9" xfId="0" applyBorder="1"/>
    <xf numFmtId="0" fontId="0" fillId="0" borderId="7" xfId="0" applyBorder="1" applyAlignment="1">
      <alignment wrapText="1"/>
    </xf>
    <xf numFmtId="164" fontId="4" fillId="0" borderId="6" xfId="3" applyNumberFormat="1" applyFont="1" applyFill="1" applyBorder="1" applyAlignment="1">
      <alignment vertical="center"/>
    </xf>
    <xf numFmtId="164" fontId="4" fillId="0" borderId="6" xfId="3" applyNumberFormat="1" applyFont="1" applyFill="1" applyBorder="1" applyAlignment="1">
      <alignment horizontal="center" vertical="center"/>
    </xf>
    <xf numFmtId="0" fontId="32" fillId="0" borderId="9" xfId="0" applyFont="1" applyBorder="1" applyAlignment="1">
      <alignment vertical="center"/>
    </xf>
    <xf numFmtId="0" fontId="4" fillId="0" borderId="6" xfId="0" applyFont="1" applyBorder="1" applyAlignment="1">
      <alignment vertical="center"/>
    </xf>
    <xf numFmtId="43" fontId="4" fillId="0" borderId="6" xfId="2" applyFont="1" applyFill="1" applyBorder="1" applyAlignment="1">
      <alignment horizontal="right" vertical="center"/>
    </xf>
    <xf numFmtId="164" fontId="4" fillId="0" borderId="6" xfId="0" applyNumberFormat="1" applyFont="1" applyBorder="1" applyAlignment="1">
      <alignment vertical="center"/>
    </xf>
    <xf numFmtId="0" fontId="4" fillId="0" borderId="7" xfId="0" applyFont="1" applyBorder="1" applyAlignment="1">
      <alignment vertical="center"/>
    </xf>
    <xf numFmtId="0" fontId="10" fillId="0" borderId="65" xfId="0" applyFont="1" applyBorder="1" applyAlignment="1">
      <alignment horizontal="center" vertical="center"/>
    </xf>
    <xf numFmtId="165" fontId="14" fillId="0" borderId="66" xfId="0" applyNumberFormat="1" applyFont="1" applyBorder="1" applyAlignment="1">
      <alignment horizontal="right" vertical="center"/>
    </xf>
    <xf numFmtId="0" fontId="14" fillId="0" borderId="66" xfId="0" applyFont="1" applyBorder="1" applyAlignment="1">
      <alignment horizontal="right" vertical="center"/>
    </xf>
    <xf numFmtId="9" fontId="14" fillId="0" borderId="66" xfId="4" applyFont="1" applyFill="1" applyBorder="1" applyAlignment="1">
      <alignment horizontal="right" vertical="center"/>
    </xf>
    <xf numFmtId="165" fontId="10" fillId="0" borderId="66" xfId="0" applyNumberFormat="1" applyFont="1" applyBorder="1" applyAlignment="1">
      <alignment horizontal="right" vertical="center"/>
    </xf>
    <xf numFmtId="10" fontId="14" fillId="0" borderId="66" xfId="0" applyNumberFormat="1" applyFont="1" applyBorder="1" applyAlignment="1">
      <alignment horizontal="right" vertical="center"/>
    </xf>
    <xf numFmtId="6" fontId="10" fillId="0" borderId="66" xfId="0" applyNumberFormat="1" applyFont="1" applyBorder="1" applyAlignment="1">
      <alignment horizontal="right" vertical="center"/>
    </xf>
    <xf numFmtId="0" fontId="14" fillId="0" borderId="65" xfId="0" applyFont="1" applyBorder="1" applyAlignment="1">
      <alignment vertical="center"/>
    </xf>
    <xf numFmtId="0" fontId="29" fillId="0" borderId="0" xfId="0" applyFont="1" applyAlignment="1">
      <alignment horizontal="left" vertical="center"/>
    </xf>
    <xf numFmtId="0" fontId="14" fillId="0" borderId="33" xfId="0" applyFont="1" applyBorder="1" applyAlignment="1">
      <alignment horizontal="left" vertical="center"/>
    </xf>
    <xf numFmtId="5" fontId="14" fillId="0" borderId="32" xfId="0" applyNumberFormat="1" applyFont="1" applyBorder="1" applyAlignment="1">
      <alignment horizontal="right" vertical="center"/>
    </xf>
    <xf numFmtId="9" fontId="14" fillId="0" borderId="34" xfId="4" applyFont="1" applyFill="1" applyBorder="1" applyAlignment="1">
      <alignment horizontal="right" vertical="center"/>
    </xf>
    <xf numFmtId="5" fontId="14" fillId="4" borderId="32" xfId="0" applyNumberFormat="1" applyFont="1" applyFill="1" applyBorder="1" applyAlignment="1">
      <alignment horizontal="right" vertical="center"/>
    </xf>
    <xf numFmtId="165" fontId="14" fillId="0" borderId="67" xfId="0" applyNumberFormat="1" applyFont="1" applyBorder="1" applyAlignment="1">
      <alignment horizontal="right" vertical="center"/>
    </xf>
    <xf numFmtId="0" fontId="9" fillId="0" borderId="17" xfId="0" applyFont="1" applyBorder="1" applyAlignment="1" applyProtection="1">
      <alignment horizontal="left" vertical="center"/>
      <protection locked="0"/>
    </xf>
    <xf numFmtId="165" fontId="19" fillId="0" borderId="17" xfId="1" applyFont="1" applyBorder="1" applyAlignment="1">
      <alignment horizontal="right" vertical="center"/>
    </xf>
    <xf numFmtId="165" fontId="19" fillId="0" borderId="5" xfId="1" applyFont="1" applyBorder="1" applyAlignment="1">
      <alignment horizontal="right" vertical="center"/>
    </xf>
    <xf numFmtId="9" fontId="10" fillId="0" borderId="6" xfId="4" applyFont="1" applyBorder="1" applyAlignment="1">
      <alignment horizontal="right" vertical="center"/>
    </xf>
    <xf numFmtId="9" fontId="14" fillId="0" borderId="68" xfId="4" applyFont="1" applyBorder="1" applyAlignment="1">
      <alignment horizontal="right" vertical="center"/>
    </xf>
    <xf numFmtId="10" fontId="13" fillId="0" borderId="0" xfId="4" applyNumberFormat="1" applyFont="1" applyFill="1" applyBorder="1" applyAlignment="1">
      <alignment horizontal="center" vertical="center"/>
    </xf>
    <xf numFmtId="1" fontId="13" fillId="0" borderId="0" xfId="4" applyNumberFormat="1" applyFont="1" applyFill="1" applyBorder="1" applyAlignment="1">
      <alignment horizontal="center" vertical="center"/>
    </xf>
    <xf numFmtId="2" fontId="13" fillId="0" borderId="0" xfId="4" applyNumberFormat="1" applyFont="1" applyFill="1" applyBorder="1" applyAlignment="1">
      <alignment horizontal="center" vertical="center"/>
    </xf>
    <xf numFmtId="49" fontId="13" fillId="0" borderId="0" xfId="1" applyNumberFormat="1" applyBorder="1" applyAlignment="1">
      <alignment horizontal="center" vertical="center"/>
    </xf>
    <xf numFmtId="0" fontId="32" fillId="0" borderId="0" xfId="0" applyFont="1" applyAlignment="1">
      <alignment horizontal="right" vertical="center"/>
    </xf>
    <xf numFmtId="165" fontId="6" fillId="0" borderId="0" xfId="4" applyNumberFormat="1" applyFont="1" applyFill="1" applyBorder="1" applyAlignment="1">
      <alignment horizontal="center" vertical="center"/>
    </xf>
    <xf numFmtId="165" fontId="6" fillId="0" borderId="0" xfId="1" applyFont="1" applyBorder="1" applyAlignment="1">
      <alignment horizontal="center" vertical="center"/>
    </xf>
    <xf numFmtId="0" fontId="18" fillId="0" borderId="9" xfId="0" applyFont="1" applyBorder="1" applyAlignment="1" applyProtection="1">
      <alignment horizontal="left" vertical="center"/>
      <protection locked="0"/>
    </xf>
    <xf numFmtId="0" fontId="10" fillId="0" borderId="0" xfId="0" applyFont="1" applyAlignment="1">
      <alignment horizontal="right" vertical="center" wrapText="1"/>
    </xf>
    <xf numFmtId="9" fontId="6" fillId="0" borderId="0" xfId="4" applyFont="1" applyBorder="1" applyAlignment="1">
      <alignment horizontal="center" vertical="center"/>
    </xf>
    <xf numFmtId="165" fontId="4" fillId="0" borderId="0" xfId="0" applyNumberFormat="1" applyFont="1" applyAlignment="1" applyProtection="1">
      <alignment horizontal="center" vertical="center"/>
      <protection locked="0"/>
    </xf>
    <xf numFmtId="0" fontId="41" fillId="0" borderId="0" xfId="0" applyFont="1" applyAlignment="1">
      <alignment horizontal="center" vertical="center" wrapText="1"/>
    </xf>
    <xf numFmtId="0" fontId="17" fillId="0" borderId="0" xfId="0" applyFont="1" applyAlignment="1">
      <alignment horizontal="center" vertical="center" wrapText="1"/>
    </xf>
    <xf numFmtId="0" fontId="0" fillId="0" borderId="0" xfId="0" applyAlignment="1">
      <alignment horizontal="center" vertical="center" wrapText="1"/>
    </xf>
    <xf numFmtId="165" fontId="42" fillId="0" borderId="9" xfId="0" applyNumberFormat="1" applyFont="1" applyBorder="1" applyAlignment="1">
      <alignment wrapText="1"/>
    </xf>
    <xf numFmtId="165" fontId="0" fillId="0" borderId="0" xfId="0" applyNumberFormat="1"/>
    <xf numFmtId="173" fontId="0" fillId="0" borderId="0" xfId="0" applyNumberFormat="1" applyAlignment="1">
      <alignment horizontal="center" vertical="center" wrapText="1"/>
    </xf>
    <xf numFmtId="0" fontId="14" fillId="0" borderId="1" xfId="0" applyFont="1" applyBorder="1" applyAlignment="1">
      <alignment horizontal="center" vertical="center"/>
    </xf>
    <xf numFmtId="6" fontId="0" fillId="0" borderId="0" xfId="0" applyNumberFormat="1"/>
    <xf numFmtId="8" fontId="0" fillId="0" borderId="0" xfId="0" applyNumberFormat="1"/>
    <xf numFmtId="9" fontId="0" fillId="0" borderId="0" xfId="0" applyNumberFormat="1"/>
    <xf numFmtId="0" fontId="1" fillId="8" borderId="0" xfId="0" applyFont="1" applyFill="1"/>
    <xf numFmtId="0" fontId="54" fillId="8" borderId="0" xfId="0" applyFont="1" applyFill="1"/>
    <xf numFmtId="44" fontId="0" fillId="9" borderId="0" xfId="0" applyNumberFormat="1" applyFill="1"/>
    <xf numFmtId="44" fontId="54" fillId="2" borderId="0" xfId="0" applyNumberFormat="1" applyFont="1" applyFill="1"/>
    <xf numFmtId="44" fontId="1" fillId="2" borderId="0" xfId="0" applyNumberFormat="1" applyFont="1" applyFill="1"/>
    <xf numFmtId="44" fontId="55" fillId="3" borderId="0" xfId="0" applyNumberFormat="1" applyFont="1" applyFill="1"/>
    <xf numFmtId="44" fontId="54" fillId="3" borderId="0" xfId="0" applyNumberFormat="1" applyFont="1" applyFill="1"/>
    <xf numFmtId="44" fontId="1" fillId="3" borderId="0" xfId="0" applyNumberFormat="1" applyFont="1" applyFill="1"/>
    <xf numFmtId="44" fontId="1" fillId="10" borderId="0" xfId="0" applyNumberFormat="1" applyFont="1" applyFill="1"/>
    <xf numFmtId="0" fontId="1" fillId="11" borderId="0" xfId="0" applyFont="1" applyFill="1"/>
    <xf numFmtId="0" fontId="54" fillId="11" borderId="0" xfId="0" applyFont="1" applyFill="1"/>
    <xf numFmtId="0" fontId="56" fillId="12" borderId="0" xfId="0" applyFont="1" applyFill="1"/>
    <xf numFmtId="172" fontId="56" fillId="12" borderId="0" xfId="0" applyNumberFormat="1" applyFont="1" applyFill="1"/>
    <xf numFmtId="44" fontId="54" fillId="13" borderId="0" xfId="0" applyNumberFormat="1" applyFont="1" applyFill="1"/>
    <xf numFmtId="44" fontId="57" fillId="13" borderId="0" xfId="0" applyNumberFormat="1" applyFont="1" applyFill="1"/>
    <xf numFmtId="44" fontId="1" fillId="13" borderId="0" xfId="0" applyNumberFormat="1" applyFont="1" applyFill="1"/>
    <xf numFmtId="44" fontId="1" fillId="7" borderId="0" xfId="0" applyNumberFormat="1" applyFont="1" applyFill="1"/>
    <xf numFmtId="0" fontId="58" fillId="0" borderId="0" xfId="0" applyFont="1"/>
    <xf numFmtId="6" fontId="1" fillId="0" borderId="0" xfId="0" applyNumberFormat="1" applyFont="1"/>
    <xf numFmtId="2" fontId="0" fillId="0" borderId="0" xfId="4" applyNumberFormat="1" applyFont="1"/>
    <xf numFmtId="166" fontId="0" fillId="0" borderId="0" xfId="2" applyNumberFormat="1" applyFont="1"/>
    <xf numFmtId="164" fontId="58" fillId="0" borderId="0" xfId="3" applyNumberFormat="1" applyFont="1"/>
    <xf numFmtId="164" fontId="0" fillId="0" borderId="0" xfId="0" applyNumberFormat="1"/>
    <xf numFmtId="164" fontId="53" fillId="0" borderId="4" xfId="3" applyNumberFormat="1" applyFont="1" applyBorder="1"/>
    <xf numFmtId="9" fontId="58" fillId="0" borderId="0" xfId="0" applyNumberFormat="1" applyFont="1"/>
    <xf numFmtId="164" fontId="0" fillId="0" borderId="0" xfId="3" applyNumberFormat="1" applyFont="1" applyFill="1"/>
    <xf numFmtId="165" fontId="22" fillId="0" borderId="0" xfId="6" applyNumberFormat="1" applyFont="1" applyFill="1" applyBorder="1" applyAlignment="1">
      <alignment vertical="center"/>
      <protection locked="0"/>
    </xf>
    <xf numFmtId="0" fontId="39" fillId="0" borderId="0" xfId="0" applyFont="1" applyAlignment="1">
      <alignment horizontal="right" vertical="center"/>
    </xf>
    <xf numFmtId="0" fontId="0" fillId="0" borderId="9" xfId="0" applyBorder="1" applyAlignment="1">
      <alignment horizontal="right" wrapText="1"/>
    </xf>
    <xf numFmtId="0" fontId="59" fillId="11" borderId="9" xfId="0" applyFont="1" applyFill="1" applyBorder="1"/>
    <xf numFmtId="0" fontId="59" fillId="11" borderId="0" xfId="0" applyFont="1" applyFill="1" applyAlignment="1">
      <alignment horizontal="center" vertical="center" wrapText="1"/>
    </xf>
    <xf numFmtId="0" fontId="60" fillId="11" borderId="6" xfId="0" applyFont="1" applyFill="1" applyBorder="1" applyAlignment="1">
      <alignment vertical="center"/>
    </xf>
    <xf numFmtId="0" fontId="60" fillId="11" borderId="0" xfId="0" applyFont="1" applyFill="1" applyAlignment="1">
      <alignment vertical="center"/>
    </xf>
    <xf numFmtId="0" fontId="61" fillId="11" borderId="0" xfId="0" applyFont="1" applyFill="1" applyAlignment="1">
      <alignment horizontal="left"/>
    </xf>
    <xf numFmtId="9" fontId="14" fillId="0" borderId="0" xfId="4" applyFont="1" applyAlignment="1">
      <alignment horizontal="center" vertical="center"/>
    </xf>
    <xf numFmtId="9" fontId="14" fillId="0" borderId="0" xfId="0" applyNumberFormat="1" applyFont="1" applyAlignment="1">
      <alignment horizontal="center" vertical="center"/>
    </xf>
    <xf numFmtId="165" fontId="14" fillId="0" borderId="6" xfId="3" applyNumberFormat="1" applyFont="1" applyFill="1" applyBorder="1" applyAlignment="1">
      <alignment horizontal="center" vertical="center"/>
    </xf>
    <xf numFmtId="0" fontId="14" fillId="0" borderId="9" xfId="0" applyFont="1" applyBorder="1" applyAlignment="1">
      <alignment vertical="center" wrapText="1"/>
    </xf>
    <xf numFmtId="1" fontId="14" fillId="0" borderId="0" xfId="0" applyNumberFormat="1" applyFont="1" applyAlignment="1">
      <alignment vertical="center"/>
    </xf>
    <xf numFmtId="165" fontId="14" fillId="0" borderId="6" xfId="0" applyNumberFormat="1" applyFont="1" applyBorder="1" applyAlignment="1">
      <alignment vertical="center"/>
    </xf>
    <xf numFmtId="165" fontId="14" fillId="0" borderId="6" xfId="4" applyNumberFormat="1" applyFont="1" applyFill="1" applyBorder="1" applyAlignment="1">
      <alignment horizontal="left" vertical="center"/>
    </xf>
    <xf numFmtId="0" fontId="10" fillId="0" borderId="17" xfId="0" applyFont="1" applyBorder="1" applyAlignment="1">
      <alignment horizontal="center" vertical="center" wrapText="1"/>
    </xf>
    <xf numFmtId="0" fontId="14" fillId="0" borderId="9" xfId="0" applyFont="1" applyBorder="1" applyAlignment="1">
      <alignment horizontal="center" vertical="center"/>
    </xf>
    <xf numFmtId="0" fontId="14" fillId="0" borderId="7" xfId="0" applyFont="1" applyBorder="1" applyAlignment="1">
      <alignment horizontal="center" vertical="center"/>
    </xf>
    <xf numFmtId="0" fontId="10" fillId="0" borderId="5"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10" xfId="0" applyFont="1" applyBorder="1" applyAlignment="1">
      <alignment horizontal="center" vertical="center" wrapText="1"/>
    </xf>
    <xf numFmtId="0" fontId="10" fillId="4" borderId="5" xfId="0" applyFont="1" applyFill="1" applyBorder="1" applyAlignment="1">
      <alignment horizontal="center" vertical="center" wrapText="1"/>
    </xf>
    <xf numFmtId="49" fontId="14" fillId="0" borderId="10" xfId="0" applyNumberFormat="1" applyFont="1" applyBorder="1" applyAlignment="1">
      <alignment horizontal="center" vertical="center"/>
    </xf>
    <xf numFmtId="9" fontId="14" fillId="0" borderId="17" xfId="4" applyFont="1" applyFill="1" applyBorder="1" applyAlignment="1">
      <alignment horizontal="center" vertical="center"/>
    </xf>
    <xf numFmtId="165" fontId="14" fillId="0" borderId="5" xfId="3" applyNumberFormat="1" applyFont="1" applyFill="1" applyBorder="1" applyAlignment="1">
      <alignment horizontal="center" vertical="center"/>
    </xf>
    <xf numFmtId="167" fontId="4" fillId="0" borderId="0" xfId="4" applyNumberFormat="1" applyFont="1" applyBorder="1" applyAlignment="1" applyProtection="1">
      <alignment horizontal="center" vertical="center"/>
      <protection locked="0"/>
    </xf>
    <xf numFmtId="167" fontId="4" fillId="0" borderId="1" xfId="4" applyNumberFormat="1" applyFont="1" applyBorder="1" applyAlignment="1" applyProtection="1">
      <alignment horizontal="center" vertical="center"/>
      <protection locked="0"/>
    </xf>
    <xf numFmtId="167" fontId="13" fillId="0" borderId="1" xfId="4" applyNumberFormat="1" applyFont="1" applyBorder="1" applyAlignment="1">
      <alignment horizontal="center" vertical="center"/>
    </xf>
    <xf numFmtId="167" fontId="13" fillId="0" borderId="11" xfId="4" applyNumberFormat="1" applyFont="1" applyBorder="1" applyAlignment="1">
      <alignment horizontal="center" vertical="center"/>
    </xf>
    <xf numFmtId="0" fontId="7" fillId="0" borderId="11" xfId="0" applyFont="1" applyBorder="1" applyAlignment="1">
      <alignment horizontal="center" vertical="center"/>
    </xf>
    <xf numFmtId="165" fontId="4" fillId="0" borderId="23" xfId="4" applyNumberFormat="1" applyFont="1" applyBorder="1" applyAlignment="1" applyProtection="1">
      <alignment horizontal="center" vertical="center"/>
      <protection locked="0"/>
    </xf>
    <xf numFmtId="167" fontId="4" fillId="0" borderId="27" xfId="4" applyNumberFormat="1" applyFont="1" applyBorder="1" applyAlignment="1" applyProtection="1">
      <alignment horizontal="center" vertical="center"/>
      <protection locked="0"/>
    </xf>
    <xf numFmtId="0" fontId="9" fillId="0" borderId="74" xfId="0" applyFont="1" applyBorder="1" applyAlignment="1" applyProtection="1">
      <alignment horizontal="left" vertical="center"/>
      <protection locked="0"/>
    </xf>
    <xf numFmtId="165" fontId="13" fillId="0" borderId="28" xfId="1" applyBorder="1" applyAlignment="1">
      <alignment horizontal="center" vertical="center"/>
    </xf>
    <xf numFmtId="0" fontId="5" fillId="0" borderId="28" xfId="0" applyFont="1" applyBorder="1" applyAlignment="1">
      <alignment horizontal="center" vertical="center" wrapText="1"/>
    </xf>
    <xf numFmtId="165" fontId="4" fillId="0" borderId="27" xfId="4" applyNumberFormat="1" applyFont="1" applyBorder="1" applyAlignment="1" applyProtection="1">
      <alignment horizontal="center" vertical="center"/>
      <protection locked="0"/>
    </xf>
    <xf numFmtId="169" fontId="4" fillId="0" borderId="27" xfId="4" applyNumberFormat="1" applyFont="1" applyBorder="1" applyAlignment="1" applyProtection="1">
      <alignment horizontal="center" vertical="center"/>
      <protection locked="0"/>
    </xf>
    <xf numFmtId="0" fontId="9" fillId="0" borderId="23" xfId="0" applyFont="1" applyBorder="1" applyAlignment="1" applyProtection="1">
      <alignment horizontal="left" vertical="center" wrapText="1"/>
      <protection locked="0"/>
    </xf>
    <xf numFmtId="167" fontId="13" fillId="0" borderId="6" xfId="4" applyNumberFormat="1" applyFont="1" applyBorder="1" applyAlignment="1">
      <alignment horizontal="center" vertical="center"/>
    </xf>
    <xf numFmtId="0" fontId="4" fillId="0" borderId="7" xfId="0" applyFont="1" applyBorder="1" applyAlignment="1" applyProtection="1">
      <alignment horizontal="right" vertical="center"/>
      <protection locked="0"/>
    </xf>
    <xf numFmtId="0" fontId="14" fillId="0" borderId="8" xfId="0" applyFont="1" applyBorder="1" applyAlignment="1">
      <alignment horizontal="right" vertical="center"/>
    </xf>
    <xf numFmtId="9" fontId="14" fillId="0" borderId="15" xfId="4" applyFont="1" applyBorder="1" applyAlignment="1">
      <alignment horizontal="center" vertical="center"/>
    </xf>
    <xf numFmtId="0" fontId="14" fillId="0" borderId="15" xfId="0" applyFont="1" applyBorder="1" applyAlignment="1">
      <alignment horizontal="center" vertical="center"/>
    </xf>
    <xf numFmtId="0" fontId="14" fillId="0" borderId="15" xfId="0" applyFont="1" applyBorder="1" applyAlignment="1">
      <alignment vertical="center"/>
    </xf>
    <xf numFmtId="0" fontId="14" fillId="0" borderId="12" xfId="0" applyFont="1" applyBorder="1" applyAlignment="1">
      <alignment vertical="center"/>
    </xf>
    <xf numFmtId="0" fontId="39" fillId="0" borderId="0" xfId="0" applyFont="1" applyAlignment="1">
      <alignment vertical="center"/>
    </xf>
    <xf numFmtId="0" fontId="0" fillId="0" borderId="5" xfId="0" applyBorder="1"/>
    <xf numFmtId="1" fontId="4" fillId="0" borderId="0" xfId="0" applyNumberFormat="1" applyFont="1" applyAlignment="1">
      <alignment horizontal="center" vertical="top" shrinkToFit="1"/>
    </xf>
    <xf numFmtId="165" fontId="19" fillId="0" borderId="36" xfId="6" applyNumberFormat="1" applyFont="1" applyFill="1" applyBorder="1" applyAlignment="1">
      <alignment horizontal="center" vertical="center"/>
      <protection locked="0"/>
    </xf>
    <xf numFmtId="0" fontId="14" fillId="0" borderId="10" xfId="0" applyFont="1" applyBorder="1" applyAlignment="1">
      <alignment horizontal="center" vertical="center"/>
    </xf>
    <xf numFmtId="49" fontId="14" fillId="0" borderId="7" xfId="0" applyNumberFormat="1" applyFont="1" applyBorder="1" applyAlignment="1">
      <alignment horizontal="center" vertical="center"/>
    </xf>
    <xf numFmtId="165" fontId="14" fillId="0" borderId="1" xfId="0" applyNumberFormat="1" applyFont="1" applyBorder="1" applyAlignment="1">
      <alignment horizontal="center" vertical="center"/>
    </xf>
    <xf numFmtId="165" fontId="14" fillId="0" borderId="11" xfId="3" applyNumberFormat="1" applyFont="1" applyFill="1" applyBorder="1" applyAlignment="1">
      <alignment horizontal="center" vertical="center"/>
    </xf>
    <xf numFmtId="0" fontId="10" fillId="0" borderId="7" xfId="0" applyFont="1" applyBorder="1" applyAlignment="1">
      <alignment horizontal="center" vertical="center"/>
    </xf>
    <xf numFmtId="0" fontId="14" fillId="0" borderId="75" xfId="0" applyFont="1" applyBorder="1" applyAlignment="1">
      <alignment vertical="center"/>
    </xf>
    <xf numFmtId="1" fontId="10" fillId="0" borderId="1" xfId="0" applyNumberFormat="1" applyFont="1" applyBorder="1" applyAlignment="1">
      <alignment horizontal="right" vertical="center"/>
    </xf>
    <xf numFmtId="1" fontId="19" fillId="0" borderId="36" xfId="0" applyNumberFormat="1" applyFont="1" applyBorder="1" applyAlignment="1">
      <alignment horizontal="center" vertical="center"/>
    </xf>
    <xf numFmtId="1" fontId="19" fillId="0" borderId="1" xfId="0" applyNumberFormat="1" applyFont="1" applyBorder="1" applyAlignment="1">
      <alignment horizontal="center" vertical="center"/>
    </xf>
    <xf numFmtId="1" fontId="19" fillId="0" borderId="7" xfId="0" applyNumberFormat="1" applyFont="1" applyBorder="1" applyAlignment="1">
      <alignment horizontal="center" vertical="center"/>
    </xf>
    <xf numFmtId="49" fontId="14" fillId="0" borderId="17" xfId="0" applyNumberFormat="1" applyFont="1" applyBorder="1" applyAlignment="1">
      <alignment horizontal="center" vertical="center"/>
    </xf>
    <xf numFmtId="49" fontId="14" fillId="0" borderId="0" xfId="0" applyNumberFormat="1" applyFont="1" applyAlignment="1">
      <alignment horizontal="center" vertical="center"/>
    </xf>
    <xf numFmtId="49" fontId="14" fillId="0" borderId="1" xfId="0" applyNumberFormat="1" applyFont="1" applyBorder="1" applyAlignment="1">
      <alignment horizontal="center" vertical="center"/>
    </xf>
    <xf numFmtId="1" fontId="19" fillId="0" borderId="4" xfId="0" applyNumberFormat="1" applyFont="1" applyBorder="1" applyAlignment="1">
      <alignment horizontal="center" vertical="center"/>
    </xf>
    <xf numFmtId="0" fontId="14" fillId="0" borderId="36" xfId="0" applyFont="1" applyBorder="1" applyAlignment="1">
      <alignment horizontal="center" vertical="center"/>
    </xf>
    <xf numFmtId="0" fontId="10" fillId="0" borderId="6" xfId="0" applyFont="1" applyBorder="1" applyAlignment="1">
      <alignment horizontal="center" vertical="center"/>
    </xf>
    <xf numFmtId="165" fontId="14" fillId="0" borderId="64" xfId="0" applyNumberFormat="1" applyFont="1" applyBorder="1" applyAlignment="1">
      <alignment horizontal="right" vertical="center"/>
    </xf>
    <xf numFmtId="9" fontId="6" fillId="0" borderId="66" xfId="4" applyFont="1" applyBorder="1" applyAlignment="1">
      <alignment horizontal="center" vertical="center"/>
    </xf>
    <xf numFmtId="165" fontId="4" fillId="0" borderId="66" xfId="0" applyNumberFormat="1" applyFont="1" applyBorder="1" applyAlignment="1" applyProtection="1">
      <alignment horizontal="center" vertical="center"/>
      <protection locked="0"/>
    </xf>
    <xf numFmtId="165" fontId="6" fillId="0" borderId="66" xfId="4" applyNumberFormat="1" applyFont="1" applyFill="1" applyBorder="1" applyAlignment="1">
      <alignment horizontal="center" vertical="center"/>
    </xf>
    <xf numFmtId="10" fontId="13" fillId="0" borderId="66" xfId="4" applyNumberFormat="1" applyFont="1" applyFill="1" applyBorder="1" applyAlignment="1">
      <alignment horizontal="center" vertical="center"/>
    </xf>
    <xf numFmtId="1" fontId="13" fillId="0" borderId="66" xfId="4" applyNumberFormat="1" applyFont="1" applyFill="1" applyBorder="1" applyAlignment="1">
      <alignment horizontal="center" vertical="center"/>
    </xf>
    <xf numFmtId="165" fontId="6" fillId="0" borderId="66" xfId="1" applyFont="1" applyBorder="1" applyAlignment="1">
      <alignment horizontal="center" vertical="center"/>
    </xf>
    <xf numFmtId="0" fontId="14" fillId="0" borderId="66" xfId="0" applyFont="1" applyBorder="1" applyAlignment="1">
      <alignment vertical="center"/>
    </xf>
    <xf numFmtId="49" fontId="13" fillId="0" borderId="66" xfId="1" applyNumberFormat="1" applyBorder="1" applyAlignment="1">
      <alignment horizontal="center" vertical="center"/>
    </xf>
    <xf numFmtId="165" fontId="14" fillId="0" borderId="66" xfId="0" applyNumberFormat="1" applyFont="1" applyBorder="1" applyAlignment="1">
      <alignment horizontal="center" vertical="center"/>
    </xf>
    <xf numFmtId="2" fontId="13" fillId="0" borderId="66" xfId="4" applyNumberFormat="1" applyFont="1" applyFill="1" applyBorder="1" applyAlignment="1">
      <alignment horizontal="center" vertical="center"/>
    </xf>
    <xf numFmtId="0" fontId="60" fillId="11" borderId="66" xfId="0" applyFont="1" applyFill="1" applyBorder="1" applyAlignment="1">
      <alignment vertical="center"/>
    </xf>
    <xf numFmtId="6" fontId="14" fillId="0" borderId="66" xfId="0" applyNumberFormat="1" applyFont="1" applyBorder="1" applyAlignment="1">
      <alignment horizontal="center" vertical="center"/>
    </xf>
    <xf numFmtId="0" fontId="14" fillId="0" borderId="66" xfId="0" applyFont="1" applyBorder="1" applyAlignment="1">
      <alignment horizontal="center" vertical="center"/>
    </xf>
    <xf numFmtId="9" fontId="14" fillId="0" borderId="66" xfId="0" applyNumberFormat="1" applyFont="1" applyBorder="1" applyAlignment="1">
      <alignment horizontal="center" vertical="center"/>
    </xf>
    <xf numFmtId="0" fontId="4" fillId="0" borderId="9" xfId="0" applyFont="1" applyBorder="1" applyAlignment="1" applyProtection="1">
      <alignment horizontal="left" vertical="center" indent="1"/>
      <protection locked="0"/>
    </xf>
    <xf numFmtId="0" fontId="4" fillId="0" borderId="7" xfId="0" applyFont="1" applyBorder="1" applyAlignment="1" applyProtection="1">
      <alignment horizontal="left" vertical="center" indent="1"/>
      <protection locked="0"/>
    </xf>
    <xf numFmtId="165" fontId="13" fillId="0" borderId="80" xfId="1" applyBorder="1" applyAlignment="1">
      <alignment horizontal="right" vertical="center"/>
    </xf>
    <xf numFmtId="165" fontId="14" fillId="0" borderId="0" xfId="0" applyNumberFormat="1" applyFont="1"/>
    <xf numFmtId="0" fontId="64" fillId="0" borderId="0" xfId="0" applyFont="1" applyAlignment="1">
      <alignment horizontal="left" vertical="center"/>
    </xf>
    <xf numFmtId="0" fontId="18" fillId="16" borderId="10" xfId="0" applyFont="1" applyFill="1" applyBorder="1" applyAlignment="1" applyProtection="1">
      <alignment horizontal="left" vertical="center"/>
      <protection locked="0"/>
    </xf>
    <xf numFmtId="0" fontId="18" fillId="16" borderId="17" xfId="0" applyFont="1" applyFill="1" applyBorder="1" applyAlignment="1" applyProtection="1">
      <alignment horizontal="left" vertical="center"/>
      <protection locked="0"/>
    </xf>
    <xf numFmtId="0" fontId="23" fillId="16" borderId="17" xfId="0" applyFont="1" applyFill="1" applyBorder="1" applyAlignment="1" applyProtection="1">
      <alignment horizontal="center" vertical="center"/>
      <protection locked="0"/>
    </xf>
    <xf numFmtId="0" fontId="23" fillId="16" borderId="5" xfId="0" applyFont="1" applyFill="1" applyBorder="1" applyAlignment="1" applyProtection="1">
      <alignment horizontal="center" vertical="center"/>
      <protection locked="0"/>
    </xf>
    <xf numFmtId="0" fontId="6" fillId="16" borderId="17" xfId="0" applyFont="1" applyFill="1" applyBorder="1" applyAlignment="1" applyProtection="1">
      <alignment horizontal="center" vertical="center"/>
      <protection locked="0"/>
    </xf>
    <xf numFmtId="0" fontId="18" fillId="13" borderId="10" xfId="0" applyFont="1" applyFill="1" applyBorder="1" applyAlignment="1" applyProtection="1">
      <alignment horizontal="left" vertical="center"/>
      <protection locked="0"/>
    </xf>
    <xf numFmtId="0" fontId="14" fillId="13" borderId="17" xfId="0" applyFont="1" applyFill="1" applyBorder="1" applyAlignment="1">
      <alignment vertical="center"/>
    </xf>
    <xf numFmtId="0" fontId="18" fillId="13" borderId="5" xfId="0" applyFont="1" applyFill="1" applyBorder="1" applyAlignment="1" applyProtection="1">
      <alignment horizontal="center" vertical="center"/>
      <protection locked="0"/>
    </xf>
    <xf numFmtId="0" fontId="14" fillId="13" borderId="5" xfId="0" applyFont="1" applyFill="1" applyBorder="1" applyAlignment="1">
      <alignment vertical="center"/>
    </xf>
    <xf numFmtId="0" fontId="24" fillId="13" borderId="10" xfId="0" applyFont="1" applyFill="1" applyBorder="1" applyAlignment="1" applyProtection="1">
      <alignment horizontal="left" vertical="center"/>
      <protection locked="0"/>
    </xf>
    <xf numFmtId="0" fontId="52" fillId="13" borderId="17" xfId="0" applyFont="1" applyFill="1" applyBorder="1" applyAlignment="1">
      <alignment vertical="center"/>
    </xf>
    <xf numFmtId="0" fontId="52" fillId="13" borderId="64" xfId="0" applyFont="1" applyFill="1" applyBorder="1" applyAlignment="1">
      <alignment vertical="center"/>
    </xf>
    <xf numFmtId="0" fontId="52" fillId="13" borderId="5" xfId="0" applyFont="1" applyFill="1" applyBorder="1" applyAlignment="1">
      <alignment vertical="center"/>
    </xf>
    <xf numFmtId="0" fontId="29" fillId="12" borderId="7" xfId="0" applyFont="1" applyFill="1" applyBorder="1" applyAlignment="1">
      <alignment horizontal="left" vertical="center"/>
    </xf>
    <xf numFmtId="165" fontId="10" fillId="12" borderId="1" xfId="0" applyNumberFormat="1" applyFont="1" applyFill="1" applyBorder="1" applyAlignment="1">
      <alignment horizontal="right" vertical="center"/>
    </xf>
    <xf numFmtId="9" fontId="10" fillId="12" borderId="11" xfId="4" applyFont="1" applyFill="1" applyBorder="1" applyAlignment="1">
      <alignment horizontal="right" vertical="center"/>
    </xf>
    <xf numFmtId="0" fontId="29" fillId="13" borderId="7" xfId="0" applyFont="1" applyFill="1" applyBorder="1" applyAlignment="1">
      <alignment horizontal="left" vertical="center"/>
    </xf>
    <xf numFmtId="165" fontId="10" fillId="13" borderId="1" xfId="0" applyNumberFormat="1" applyFont="1" applyFill="1" applyBorder="1" applyAlignment="1">
      <alignment horizontal="right" vertical="center"/>
    </xf>
    <xf numFmtId="9" fontId="10" fillId="13" borderId="11" xfId="4" applyFont="1" applyFill="1" applyBorder="1" applyAlignment="1">
      <alignment horizontal="right" vertical="center"/>
    </xf>
    <xf numFmtId="5" fontId="10" fillId="13" borderId="1" xfId="0" applyNumberFormat="1" applyFont="1" applyFill="1" applyBorder="1" applyAlignment="1">
      <alignment horizontal="right" vertical="center"/>
    </xf>
    <xf numFmtId="0" fontId="29" fillId="16" borderId="7" xfId="0" applyFont="1" applyFill="1" applyBorder="1" applyAlignment="1">
      <alignment horizontal="left" vertical="center"/>
    </xf>
    <xf numFmtId="165" fontId="10" fillId="16" borderId="1" xfId="0" applyNumberFormat="1" applyFont="1" applyFill="1" applyBorder="1" applyAlignment="1">
      <alignment horizontal="right" vertical="center"/>
    </xf>
    <xf numFmtId="9" fontId="10" fillId="16" borderId="11" xfId="4" applyFont="1" applyFill="1" applyBorder="1" applyAlignment="1">
      <alignment horizontal="right" vertical="center"/>
    </xf>
    <xf numFmtId="5" fontId="10" fillId="16" borderId="1" xfId="0" applyNumberFormat="1" applyFont="1" applyFill="1" applyBorder="1" applyAlignment="1">
      <alignment horizontal="right" vertical="center"/>
    </xf>
    <xf numFmtId="0" fontId="10" fillId="14" borderId="8" xfId="0" applyFont="1" applyFill="1" applyBorder="1" applyAlignment="1">
      <alignment horizontal="left" vertical="center"/>
    </xf>
    <xf numFmtId="0" fontId="10" fillId="14" borderId="81" xfId="0" applyFont="1" applyFill="1" applyBorder="1" applyAlignment="1">
      <alignment vertical="center"/>
    </xf>
    <xf numFmtId="5" fontId="10" fillId="14" borderId="82" xfId="0" applyNumberFormat="1" applyFont="1" applyFill="1" applyBorder="1" applyAlignment="1">
      <alignment vertical="center"/>
    </xf>
    <xf numFmtId="0" fontId="10" fillId="14" borderId="83" xfId="0" applyFont="1" applyFill="1" applyBorder="1" applyAlignment="1">
      <alignment vertical="center"/>
    </xf>
    <xf numFmtId="9" fontId="19" fillId="0" borderId="39" xfId="4" applyFont="1" applyBorder="1" applyAlignment="1">
      <alignment horizontal="right" vertical="center"/>
    </xf>
    <xf numFmtId="0" fontId="14" fillId="0" borderId="10" xfId="0" applyFont="1" applyBorder="1" applyAlignment="1">
      <alignment vertical="center"/>
    </xf>
    <xf numFmtId="165" fontId="14" fillId="0" borderId="17" xfId="0" applyNumberFormat="1" applyFont="1" applyBorder="1" applyAlignment="1">
      <alignment vertical="center"/>
    </xf>
    <xf numFmtId="0" fontId="29" fillId="0" borderId="0" xfId="0" applyFont="1" applyAlignment="1">
      <alignment vertical="center"/>
    </xf>
    <xf numFmtId="5" fontId="29" fillId="0" borderId="0" xfId="0" applyNumberFormat="1" applyFont="1" applyAlignment="1">
      <alignment vertical="center"/>
    </xf>
    <xf numFmtId="0" fontId="65" fillId="0" borderId="0" xfId="0" applyFont="1" applyAlignment="1">
      <alignment horizontal="center" vertical="center" wrapText="1"/>
    </xf>
    <xf numFmtId="165" fontId="65" fillId="0" borderId="0" xfId="0" applyNumberFormat="1" applyFont="1" applyAlignment="1">
      <alignment horizontal="center" vertical="center" wrapText="1"/>
    </xf>
    <xf numFmtId="165" fontId="66" fillId="0" borderId="0" xfId="3" applyNumberFormat="1" applyFont="1" applyFill="1" applyBorder="1" applyAlignment="1">
      <alignment horizontal="center" vertical="center"/>
    </xf>
    <xf numFmtId="165" fontId="65" fillId="0" borderId="9" xfId="6" applyNumberFormat="1" applyFont="1" applyFill="1" applyBorder="1" applyAlignment="1">
      <alignment horizontal="center" vertical="center"/>
      <protection locked="0"/>
    </xf>
    <xf numFmtId="5" fontId="19" fillId="14" borderId="15" xfId="0" applyNumberFormat="1" applyFont="1" applyFill="1" applyBorder="1" applyAlignment="1">
      <alignment horizontal="right" vertical="center"/>
    </xf>
    <xf numFmtId="5" fontId="10" fillId="14" borderId="15" xfId="0" applyNumberFormat="1" applyFont="1" applyFill="1" applyBorder="1" applyAlignment="1">
      <alignment horizontal="right" vertical="center"/>
    </xf>
    <xf numFmtId="9" fontId="19" fillId="14" borderId="12" xfId="4" applyFont="1" applyFill="1" applyBorder="1" applyAlignment="1">
      <alignment horizontal="center" vertical="center"/>
    </xf>
    <xf numFmtId="5" fontId="6" fillId="0" borderId="0" xfId="0" applyNumberFormat="1" applyFont="1" applyAlignment="1">
      <alignment horizontal="right"/>
    </xf>
    <xf numFmtId="9" fontId="6" fillId="0" borderId="0" xfId="4" applyFont="1" applyFill="1" applyBorder="1" applyAlignment="1">
      <alignment horizontal="right"/>
    </xf>
    <xf numFmtId="0" fontId="10" fillId="0" borderId="10" xfId="0" applyFont="1" applyBorder="1" applyAlignment="1">
      <alignment vertical="center"/>
    </xf>
    <xf numFmtId="165" fontId="10" fillId="0" borderId="17" xfId="0" applyNumberFormat="1" applyFont="1" applyBorder="1" applyAlignment="1">
      <alignment vertical="center"/>
    </xf>
    <xf numFmtId="9" fontId="4" fillId="0" borderId="0" xfId="4" applyFont="1" applyBorder="1" applyAlignment="1" applyProtection="1">
      <alignment horizontal="center" vertical="center"/>
      <protection locked="0"/>
    </xf>
    <xf numFmtId="9" fontId="13" fillId="0" borderId="6" xfId="4" applyFont="1" applyBorder="1" applyAlignment="1">
      <alignment horizontal="center" vertical="center"/>
    </xf>
    <xf numFmtId="167" fontId="4" fillId="0" borderId="47" xfId="4" applyNumberFormat="1" applyFont="1" applyBorder="1" applyAlignment="1" applyProtection="1">
      <alignment horizontal="center" vertical="center"/>
      <protection locked="0"/>
    </xf>
    <xf numFmtId="0" fontId="4" fillId="0" borderId="10" xfId="0" applyFont="1" applyBorder="1" applyAlignment="1" applyProtection="1">
      <alignment horizontal="right" vertical="center"/>
      <protection locked="0"/>
    </xf>
    <xf numFmtId="167" fontId="4" fillId="0" borderId="17" xfId="4" applyNumberFormat="1" applyFont="1" applyBorder="1" applyAlignment="1" applyProtection="1">
      <alignment horizontal="center" vertical="center"/>
      <protection locked="0"/>
    </xf>
    <xf numFmtId="167" fontId="13" fillId="0" borderId="17" xfId="4" applyNumberFormat="1" applyFont="1" applyBorder="1" applyAlignment="1">
      <alignment horizontal="center" vertical="center"/>
    </xf>
    <xf numFmtId="167" fontId="13" fillId="0" borderId="5" xfId="4" applyNumberFormat="1" applyFont="1" applyBorder="1" applyAlignment="1">
      <alignment horizontal="center" vertical="center"/>
    </xf>
    <xf numFmtId="0" fontId="0" fillId="0" borderId="0" xfId="0" applyAlignment="1">
      <alignment horizontal="center" vertical="center"/>
    </xf>
    <xf numFmtId="0" fontId="0" fillId="0" borderId="6" xfId="0" applyBorder="1" applyAlignment="1">
      <alignment horizontal="center" vertical="center"/>
    </xf>
    <xf numFmtId="0" fontId="4" fillId="0" borderId="7" xfId="0" applyFont="1" applyBorder="1" applyAlignment="1" applyProtection="1">
      <alignment horizontal="right" vertical="center" wrapText="1"/>
      <protection locked="0"/>
    </xf>
    <xf numFmtId="49" fontId="13" fillId="0" borderId="85" xfId="1" applyNumberFormat="1" applyBorder="1" applyAlignment="1">
      <alignment horizontal="center" vertical="center"/>
    </xf>
    <xf numFmtId="9" fontId="4" fillId="0" borderId="27" xfId="4" applyFont="1" applyBorder="1" applyAlignment="1" applyProtection="1">
      <alignment horizontal="center" vertical="center"/>
      <protection locked="0"/>
    </xf>
    <xf numFmtId="0" fontId="18" fillId="12" borderId="10" xfId="0" applyFont="1" applyFill="1" applyBorder="1" applyAlignment="1" applyProtection="1">
      <alignment horizontal="left" vertical="center"/>
      <protection locked="0"/>
    </xf>
    <xf numFmtId="0" fontId="18" fillId="12" borderId="17" xfId="0" applyFont="1" applyFill="1" applyBorder="1" applyAlignment="1" applyProtection="1">
      <alignment horizontal="left" vertical="center"/>
      <protection locked="0"/>
    </xf>
    <xf numFmtId="0" fontId="23" fillId="12" borderId="17" xfId="0" applyFont="1" applyFill="1" applyBorder="1" applyAlignment="1" applyProtection="1">
      <alignment horizontal="center" vertical="center"/>
      <protection locked="0"/>
    </xf>
    <xf numFmtId="0" fontId="23" fillId="12" borderId="5" xfId="0" applyFont="1" applyFill="1" applyBorder="1" applyAlignment="1" applyProtection="1">
      <alignment horizontal="center" vertical="center"/>
      <protection locked="0"/>
    </xf>
    <xf numFmtId="0" fontId="6" fillId="12" borderId="17" xfId="0" applyFont="1" applyFill="1" applyBorder="1" applyAlignment="1" applyProtection="1">
      <alignment horizontal="center" vertical="center"/>
      <protection locked="0"/>
    </xf>
    <xf numFmtId="0" fontId="6" fillId="0" borderId="36" xfId="0" applyFont="1" applyBorder="1" applyAlignment="1">
      <alignment horizontal="right" vertical="center"/>
    </xf>
    <xf numFmtId="0" fontId="6" fillId="0" borderId="28" xfId="0" applyFont="1" applyBorder="1" applyAlignment="1">
      <alignment horizontal="right" vertical="center"/>
    </xf>
    <xf numFmtId="0" fontId="19" fillId="7" borderId="35" xfId="0" applyFont="1" applyFill="1" applyBorder="1" applyAlignment="1">
      <alignment horizontal="center" vertical="center"/>
    </xf>
    <xf numFmtId="0" fontId="19" fillId="7" borderId="35" xfId="0" applyFont="1" applyFill="1" applyBorder="1" applyAlignment="1">
      <alignment horizontal="right" vertical="center"/>
    </xf>
    <xf numFmtId="0" fontId="10" fillId="0" borderId="86" xfId="0" applyFont="1" applyBorder="1" applyAlignment="1">
      <alignment vertical="center"/>
    </xf>
    <xf numFmtId="0" fontId="14" fillId="0" borderId="87" xfId="0" applyFont="1" applyBorder="1" applyAlignment="1">
      <alignment vertical="center"/>
    </xf>
    <xf numFmtId="0" fontId="14" fillId="0" borderId="48" xfId="0" applyFont="1" applyBorder="1" applyAlignment="1">
      <alignment vertical="center"/>
    </xf>
    <xf numFmtId="0" fontId="14" fillId="2" borderId="45" xfId="0" applyFont="1" applyFill="1" applyBorder="1" applyAlignment="1">
      <alignment vertical="center"/>
    </xf>
    <xf numFmtId="0" fontId="14" fillId="16" borderId="45" xfId="0" applyFont="1" applyFill="1" applyBorder="1" applyAlignment="1">
      <alignment vertical="center"/>
    </xf>
    <xf numFmtId="0" fontId="14" fillId="13" borderId="45" xfId="0" applyFont="1" applyFill="1" applyBorder="1" applyAlignment="1">
      <alignment vertical="center"/>
    </xf>
    <xf numFmtId="0" fontId="14" fillId="6" borderId="45" xfId="0" applyFont="1" applyFill="1" applyBorder="1" applyAlignment="1">
      <alignment vertical="center"/>
    </xf>
    <xf numFmtId="49" fontId="13" fillId="0" borderId="51" xfId="1" applyNumberFormat="1" applyBorder="1" applyAlignment="1">
      <alignment horizontal="center" vertical="center"/>
    </xf>
    <xf numFmtId="0" fontId="14" fillId="0" borderId="52" xfId="0" applyFont="1" applyBorder="1" applyAlignment="1">
      <alignment vertical="center"/>
    </xf>
    <xf numFmtId="0" fontId="14" fillId="0" borderId="57" xfId="0" applyFont="1" applyBorder="1" applyAlignment="1">
      <alignment horizontal="center" vertical="center"/>
    </xf>
    <xf numFmtId="0" fontId="4" fillId="0" borderId="9" xfId="0" applyFont="1" applyBorder="1" applyAlignment="1" applyProtection="1">
      <alignment vertical="center"/>
      <protection locked="0"/>
    </xf>
    <xf numFmtId="165" fontId="14" fillId="0" borderId="40" xfId="0" applyNumberFormat="1" applyFont="1" applyBorder="1" applyAlignment="1">
      <alignment horizontal="right" vertical="center"/>
    </xf>
    <xf numFmtId="0" fontId="14" fillId="0" borderId="0" xfId="0" applyFont="1" applyAlignment="1">
      <alignment vertical="center" wrapText="1"/>
    </xf>
    <xf numFmtId="0" fontId="14" fillId="0" borderId="0" xfId="0" quotePrefix="1" applyFont="1" applyAlignment="1">
      <alignment horizontal="left" vertical="center"/>
    </xf>
    <xf numFmtId="0" fontId="67" fillId="0" borderId="9" xfId="0" applyFont="1" applyBorder="1" applyAlignment="1">
      <alignment vertical="center"/>
    </xf>
    <xf numFmtId="0" fontId="68" fillId="0" borderId="10" xfId="0" applyFont="1" applyBorder="1" applyAlignment="1" applyProtection="1">
      <alignment horizontal="left" vertical="center"/>
      <protection locked="0"/>
    </xf>
    <xf numFmtId="0" fontId="67" fillId="0" borderId="38" xfId="0" applyFont="1" applyBorder="1" applyAlignment="1">
      <alignment horizontal="left" vertical="center" wrapText="1"/>
    </xf>
    <xf numFmtId="0" fontId="67" fillId="0" borderId="45" xfId="0" applyFont="1" applyBorder="1" applyAlignment="1">
      <alignment horizontal="center" vertical="center"/>
    </xf>
    <xf numFmtId="2" fontId="4" fillId="0" borderId="24" xfId="4" applyNumberFormat="1" applyFont="1" applyBorder="1" applyAlignment="1" applyProtection="1">
      <alignment horizontal="center" vertical="center"/>
      <protection locked="0"/>
    </xf>
    <xf numFmtId="0" fontId="38" fillId="0" borderId="11" xfId="0" applyFont="1" applyBorder="1" applyAlignment="1" applyProtection="1">
      <alignment horizontal="center" vertical="center"/>
      <protection locked="0"/>
    </xf>
    <xf numFmtId="0" fontId="38" fillId="0" borderId="36" xfId="0" applyFont="1" applyBorder="1" applyAlignment="1" applyProtection="1">
      <alignment horizontal="center" vertical="center"/>
      <protection locked="0"/>
    </xf>
    <xf numFmtId="49" fontId="13" fillId="0" borderId="17" xfId="1" applyNumberFormat="1" applyBorder="1" applyAlignment="1">
      <alignment horizontal="center" vertical="center"/>
    </xf>
    <xf numFmtId="0" fontId="38" fillId="0" borderId="0" xfId="0" applyFont="1" applyAlignment="1" applyProtection="1">
      <alignment horizontal="center" vertical="center"/>
      <protection locked="0"/>
    </xf>
    <xf numFmtId="49" fontId="13" fillId="0" borderId="5" xfId="1" applyNumberFormat="1" applyBorder="1" applyAlignment="1">
      <alignment horizontal="center" vertical="center"/>
    </xf>
    <xf numFmtId="49" fontId="13" fillId="0" borderId="35" xfId="1" applyNumberFormat="1" applyBorder="1" applyAlignment="1">
      <alignment horizontal="center" vertical="center"/>
    </xf>
    <xf numFmtId="0" fontId="14" fillId="0" borderId="28" xfId="0" applyFont="1" applyBorder="1" applyAlignment="1">
      <alignment vertical="center"/>
    </xf>
    <xf numFmtId="10" fontId="13" fillId="0" borderId="28" xfId="4" applyNumberFormat="1" applyFont="1" applyBorder="1" applyAlignment="1">
      <alignment horizontal="center" vertical="center"/>
    </xf>
    <xf numFmtId="1" fontId="13" fillId="0" borderId="28" xfId="4" applyNumberFormat="1" applyFont="1" applyBorder="1" applyAlignment="1">
      <alignment horizontal="center" vertical="center"/>
    </xf>
    <xf numFmtId="0" fontId="38" fillId="0" borderId="28" xfId="0" applyFont="1" applyBorder="1" applyAlignment="1" applyProtection="1">
      <alignment horizontal="center" vertical="center"/>
      <protection locked="0"/>
    </xf>
    <xf numFmtId="0" fontId="14" fillId="0" borderId="6" xfId="0" applyFont="1" applyBorder="1" applyAlignment="1">
      <alignment horizontal="center" vertical="center"/>
    </xf>
    <xf numFmtId="6" fontId="14" fillId="0" borderId="0" xfId="0" applyNumberFormat="1" applyFont="1" applyAlignment="1">
      <alignment horizontal="right" vertical="center"/>
    </xf>
    <xf numFmtId="0" fontId="14" fillId="0" borderId="9" xfId="0" applyFont="1" applyBorder="1" applyAlignment="1">
      <alignment wrapText="1"/>
    </xf>
    <xf numFmtId="0" fontId="69" fillId="0" borderId="9" xfId="0" applyFont="1" applyBorder="1" applyAlignment="1">
      <alignment horizontal="right" wrapText="1"/>
    </xf>
    <xf numFmtId="0" fontId="69" fillId="0" borderId="9" xfId="0" applyFont="1" applyBorder="1" applyAlignment="1">
      <alignment wrapText="1"/>
    </xf>
    <xf numFmtId="0" fontId="29" fillId="0" borderId="0" xfId="0" applyFont="1" applyAlignment="1">
      <alignment vertical="center" wrapText="1"/>
    </xf>
    <xf numFmtId="0" fontId="10" fillId="0" borderId="0" xfId="0" applyFont="1" applyAlignment="1">
      <alignment vertical="center" wrapText="1"/>
    </xf>
    <xf numFmtId="0" fontId="51" fillId="0" borderId="0" xfId="8" applyFont="1" applyFill="1" applyBorder="1" applyAlignment="1">
      <alignment horizontal="right" wrapText="1"/>
    </xf>
    <xf numFmtId="0" fontId="24" fillId="0" borderId="0" xfId="0" applyFont="1" applyAlignment="1" applyProtection="1">
      <alignment horizontal="left" vertical="center"/>
      <protection locked="0"/>
    </xf>
    <xf numFmtId="0" fontId="52" fillId="0" borderId="0" xfId="0" applyFont="1" applyAlignment="1">
      <alignment vertical="center"/>
    </xf>
    <xf numFmtId="9" fontId="13" fillId="0" borderId="0" xfId="1" applyNumberFormat="1" applyBorder="1">
      <alignment horizontal="right"/>
    </xf>
    <xf numFmtId="0" fontId="17" fillId="0" borderId="0" xfId="0" applyFont="1" applyAlignment="1">
      <alignment vertical="center" wrapText="1"/>
    </xf>
    <xf numFmtId="0" fontId="42" fillId="0" borderId="0" xfId="0" applyFont="1" applyAlignment="1">
      <alignment wrapText="1"/>
    </xf>
    <xf numFmtId="171" fontId="13" fillId="0" borderId="0" xfId="4" applyNumberFormat="1" applyFont="1" applyFill="1" applyBorder="1" applyAlignment="1">
      <alignment horizontal="right"/>
    </xf>
    <xf numFmtId="10" fontId="13" fillId="0" borderId="0" xfId="4" applyNumberFormat="1" applyFont="1" applyFill="1" applyBorder="1" applyAlignment="1">
      <alignment horizontal="right"/>
    </xf>
    <xf numFmtId="165" fontId="13" fillId="0" borderId="0" xfId="1" applyBorder="1">
      <alignment horizontal="right"/>
    </xf>
    <xf numFmtId="14" fontId="50" fillId="0" borderId="0" xfId="0" applyNumberFormat="1" applyFont="1" applyAlignment="1">
      <alignment horizontal="right" vertical="top" wrapText="1"/>
    </xf>
    <xf numFmtId="8" fontId="14" fillId="0" borderId="0" xfId="0" applyNumberFormat="1" applyFont="1" applyAlignment="1">
      <alignment horizontal="right" vertical="center"/>
    </xf>
    <xf numFmtId="165" fontId="13" fillId="0" borderId="0" xfId="4" applyNumberFormat="1" applyFont="1" applyFill="1" applyBorder="1" applyAlignment="1">
      <alignment horizontal="right" vertical="center"/>
    </xf>
    <xf numFmtId="0" fontId="42" fillId="0" borderId="0" xfId="0" applyFont="1" applyAlignment="1">
      <alignment horizontal="left"/>
    </xf>
    <xf numFmtId="0" fontId="10" fillId="0" borderId="9" xfId="0" quotePrefix="1" applyFont="1" applyBorder="1" applyAlignment="1">
      <alignment vertical="center"/>
    </xf>
    <xf numFmtId="0" fontId="14" fillId="0" borderId="7" xfId="0" applyFont="1" applyBorder="1" applyAlignment="1">
      <alignment horizontal="right" vertical="center" wrapText="1"/>
    </xf>
    <xf numFmtId="0" fontId="14" fillId="0" borderId="27" xfId="0" applyFont="1" applyBorder="1" applyAlignment="1">
      <alignment horizontal="center" vertical="center"/>
    </xf>
    <xf numFmtId="6" fontId="14" fillId="0" borderId="0" xfId="0" applyNumberFormat="1" applyFont="1" applyAlignment="1">
      <alignment vertical="center"/>
    </xf>
    <xf numFmtId="9" fontId="14" fillId="0" borderId="0" xfId="0" applyNumberFormat="1" applyFont="1" applyAlignment="1">
      <alignment vertical="center"/>
    </xf>
    <xf numFmtId="173" fontId="14" fillId="0" borderId="0" xfId="0" applyNumberFormat="1" applyFont="1" applyAlignment="1">
      <alignment vertical="center"/>
    </xf>
    <xf numFmtId="0" fontId="0" fillId="0" borderId="6" xfId="0" applyBorder="1"/>
    <xf numFmtId="44" fontId="4" fillId="0" borderId="88" xfId="0" applyNumberFormat="1" applyFont="1" applyBorder="1" applyAlignment="1" applyProtection="1">
      <alignment horizontal="right" vertical="center"/>
      <protection locked="0"/>
    </xf>
    <xf numFmtId="0" fontId="4" fillId="0" borderId="88" xfId="0" applyFont="1" applyBorder="1" applyAlignment="1" applyProtection="1">
      <alignment horizontal="right" vertical="center" wrapText="1"/>
      <protection locked="0"/>
    </xf>
    <xf numFmtId="0" fontId="4" fillId="0" borderId="88" xfId="0" applyFont="1" applyBorder="1" applyAlignment="1" applyProtection="1">
      <alignment horizontal="right" vertical="center"/>
      <protection locked="0"/>
    </xf>
    <xf numFmtId="0" fontId="10" fillId="0" borderId="0" xfId="0" applyFont="1" applyAlignment="1">
      <alignment vertical="top"/>
    </xf>
    <xf numFmtId="0" fontId="32" fillId="0" borderId="0" xfId="0" applyFont="1"/>
    <xf numFmtId="0" fontId="29" fillId="2" borderId="10" xfId="0" applyFont="1" applyFill="1" applyBorder="1"/>
    <xf numFmtId="0" fontId="12" fillId="2" borderId="17" xfId="0" applyFont="1" applyFill="1" applyBorder="1"/>
    <xf numFmtId="0" fontId="12" fillId="2" borderId="5" xfId="0" applyFont="1" applyFill="1" applyBorder="1"/>
    <xf numFmtId="0" fontId="12" fillId="0" borderId="0" xfId="0" applyFont="1"/>
    <xf numFmtId="0" fontId="4" fillId="0" borderId="9" xfId="0" applyFont="1" applyBorder="1"/>
    <xf numFmtId="0" fontId="14" fillId="0" borderId="6" xfId="0" applyFont="1" applyBorder="1"/>
    <xf numFmtId="0" fontId="14" fillId="0" borderId="9" xfId="0" applyFont="1" applyBorder="1"/>
    <xf numFmtId="0" fontId="14" fillId="0" borderId="7" xfId="0" applyFont="1" applyBorder="1"/>
    <xf numFmtId="0" fontId="14" fillId="0" borderId="1" xfId="0" applyFont="1" applyBorder="1"/>
    <xf numFmtId="0" fontId="14" fillId="0" borderId="11" xfId="0" applyFont="1" applyBorder="1"/>
    <xf numFmtId="0" fontId="14" fillId="0" borderId="9" xfId="0" quotePrefix="1" applyFont="1" applyBorder="1"/>
    <xf numFmtId="0" fontId="64" fillId="0" borderId="9" xfId="0" applyFont="1" applyBorder="1"/>
    <xf numFmtId="178" fontId="10" fillId="0" borderId="0" xfId="0" applyNumberFormat="1" applyFont="1" applyAlignment="1">
      <alignment horizontal="right" vertical="top"/>
    </xf>
    <xf numFmtId="0" fontId="30" fillId="0" borderId="9" xfId="0" applyFont="1" applyBorder="1"/>
    <xf numFmtId="0" fontId="10" fillId="0" borderId="9" xfId="0" applyFont="1" applyBorder="1"/>
    <xf numFmtId="0" fontId="70" fillId="0" borderId="9" xfId="0" applyFont="1" applyBorder="1"/>
    <xf numFmtId="0" fontId="9" fillId="0" borderId="5" xfId="0" applyFont="1" applyBorder="1" applyAlignment="1" applyProtection="1">
      <alignment horizontal="center" vertical="center"/>
      <protection locked="0"/>
    </xf>
    <xf numFmtId="169" fontId="14" fillId="0" borderId="0" xfId="0" applyNumberFormat="1" applyFont="1" applyAlignment="1">
      <alignment vertical="center"/>
    </xf>
    <xf numFmtId="1" fontId="13" fillId="0" borderId="69" xfId="1" applyNumberFormat="1" applyBorder="1" applyAlignment="1" applyProtection="1">
      <alignment horizontal="center" vertical="center"/>
      <protection locked="0"/>
    </xf>
    <xf numFmtId="1" fontId="13" fillId="0" borderId="62" xfId="1" applyNumberFormat="1" applyBorder="1" applyAlignment="1" applyProtection="1">
      <alignment horizontal="center" vertical="center"/>
      <protection locked="0"/>
    </xf>
    <xf numFmtId="1" fontId="13" fillId="0" borderId="61" xfId="1" applyNumberFormat="1" applyBorder="1" applyAlignment="1" applyProtection="1">
      <alignment horizontal="center" vertical="center"/>
      <protection locked="0"/>
    </xf>
    <xf numFmtId="1" fontId="13" fillId="0" borderId="71" xfId="1" applyNumberFormat="1" applyBorder="1" applyAlignment="1" applyProtection="1">
      <alignment horizontal="center" vertical="center"/>
      <protection locked="0"/>
    </xf>
    <xf numFmtId="1" fontId="13" fillId="0" borderId="29" xfId="1" applyNumberFormat="1" applyBorder="1" applyAlignment="1" applyProtection="1">
      <alignment horizontal="center" vertical="center"/>
      <protection locked="0"/>
    </xf>
    <xf numFmtId="1" fontId="13" fillId="0" borderId="31" xfId="1" applyNumberFormat="1" applyBorder="1" applyAlignment="1" applyProtection="1">
      <alignment horizontal="center" vertical="center"/>
      <protection locked="0"/>
    </xf>
    <xf numFmtId="1" fontId="13" fillId="0" borderId="21" xfId="1" applyNumberFormat="1" applyBorder="1" applyAlignment="1" applyProtection="1">
      <alignment horizontal="center" vertical="center"/>
      <protection locked="0"/>
    </xf>
    <xf numFmtId="1" fontId="13" fillId="0" borderId="73" xfId="1" applyNumberFormat="1" applyBorder="1" applyAlignment="1" applyProtection="1">
      <alignment horizontal="center" vertical="center"/>
      <protection locked="0"/>
    </xf>
    <xf numFmtId="1" fontId="13" fillId="0" borderId="41" xfId="1" applyNumberFormat="1" applyBorder="1" applyAlignment="1" applyProtection="1">
      <alignment horizontal="center" vertical="center"/>
      <protection locked="0"/>
    </xf>
    <xf numFmtId="1" fontId="13" fillId="0" borderId="43" xfId="1" applyNumberFormat="1" applyBorder="1" applyAlignment="1" applyProtection="1">
      <alignment horizontal="center" vertical="center"/>
      <protection locked="0"/>
    </xf>
    <xf numFmtId="1" fontId="13" fillId="0" borderId="72" xfId="1" applyNumberFormat="1" applyBorder="1" applyAlignment="1" applyProtection="1">
      <alignment horizontal="center" vertical="center"/>
      <protection locked="0"/>
    </xf>
    <xf numFmtId="1" fontId="13" fillId="0" borderId="30" xfId="1" applyNumberFormat="1" applyBorder="1" applyAlignment="1" applyProtection="1">
      <alignment horizontal="center" vertical="center"/>
      <protection locked="0"/>
    </xf>
    <xf numFmtId="1" fontId="13" fillId="0" borderId="20" xfId="1" applyNumberFormat="1" applyBorder="1" applyAlignment="1" applyProtection="1">
      <alignment horizontal="center" vertical="center"/>
      <protection locked="0"/>
    </xf>
    <xf numFmtId="1" fontId="63" fillId="6" borderId="58" xfId="1" applyNumberFormat="1" applyFont="1" applyFill="1" applyBorder="1" applyAlignment="1" applyProtection="1">
      <alignment horizontal="center" vertical="center"/>
      <protection locked="0"/>
    </xf>
    <xf numFmtId="165" fontId="13" fillId="0" borderId="31" xfId="1" applyBorder="1" applyAlignment="1" applyProtection="1">
      <alignment horizontal="center" vertical="center" wrapText="1"/>
      <protection locked="0"/>
    </xf>
    <xf numFmtId="165" fontId="13" fillId="0" borderId="2" xfId="1" applyAlignment="1" applyProtection="1">
      <alignment horizontal="center" vertical="center" wrapText="1"/>
      <protection locked="0"/>
    </xf>
    <xf numFmtId="165" fontId="13" fillId="0" borderId="70" xfId="1" applyBorder="1" applyAlignment="1" applyProtection="1">
      <alignment horizontal="center" vertical="center"/>
      <protection locked="0"/>
    </xf>
    <xf numFmtId="165" fontId="13" fillId="0" borderId="2" xfId="1" applyAlignment="1" applyProtection="1">
      <alignment horizontal="right" vertical="center"/>
      <protection locked="0"/>
    </xf>
    <xf numFmtId="165" fontId="13" fillId="0" borderId="3" xfId="1" applyBorder="1" applyAlignment="1" applyProtection="1">
      <alignment horizontal="right" vertical="center"/>
      <protection locked="0"/>
    </xf>
    <xf numFmtId="165" fontId="13" fillId="0" borderId="2" xfId="1" applyProtection="1">
      <alignment horizontal="right"/>
      <protection locked="0"/>
    </xf>
    <xf numFmtId="165" fontId="13" fillId="0" borderId="79" xfId="1" applyBorder="1" applyAlignment="1" applyProtection="1">
      <alignment horizontal="right" vertical="center"/>
      <protection locked="0"/>
    </xf>
    <xf numFmtId="165" fontId="13" fillId="0" borderId="2" xfId="4" applyNumberFormat="1" applyFont="1" applyBorder="1" applyAlignment="1" applyProtection="1">
      <alignment horizontal="center" vertical="center"/>
      <protection locked="0"/>
    </xf>
    <xf numFmtId="9" fontId="13" fillId="0" borderId="2" xfId="4" applyFont="1" applyBorder="1" applyAlignment="1" applyProtection="1">
      <alignment horizontal="center" vertical="center"/>
      <protection locked="0"/>
    </xf>
    <xf numFmtId="165" fontId="13" fillId="0" borderId="2" xfId="1" applyAlignment="1" applyProtection="1">
      <alignment horizontal="center" vertical="center"/>
      <protection locked="0"/>
    </xf>
    <xf numFmtId="1" fontId="13" fillId="0" borderId="2" xfId="1" applyNumberFormat="1" applyAlignment="1" applyProtection="1">
      <alignment horizontal="center" vertical="center"/>
      <protection locked="0"/>
    </xf>
    <xf numFmtId="9" fontId="13" fillId="0" borderId="2" xfId="4" applyFont="1" applyBorder="1" applyAlignment="1" applyProtection="1">
      <alignment horizontal="right"/>
      <protection locked="0"/>
    </xf>
    <xf numFmtId="177" fontId="13" fillId="0" borderId="2" xfId="1" applyNumberFormat="1" applyProtection="1">
      <alignment horizontal="right"/>
      <protection locked="0"/>
    </xf>
    <xf numFmtId="0" fontId="63" fillId="6" borderId="2" xfId="1" applyNumberFormat="1" applyFont="1" applyFill="1" applyAlignment="1" applyProtection="1">
      <alignment horizontal="center" vertical="center"/>
      <protection locked="0"/>
    </xf>
    <xf numFmtId="165" fontId="13" fillId="0" borderId="37" xfId="1" applyBorder="1" applyAlignment="1" applyProtection="1">
      <alignment horizontal="center" vertical="center" wrapText="1"/>
      <protection locked="0"/>
    </xf>
    <xf numFmtId="9" fontId="13" fillId="0" borderId="60" xfId="4" applyFont="1" applyBorder="1" applyAlignment="1" applyProtection="1">
      <alignment horizontal="center" vertical="center"/>
      <protection locked="0"/>
    </xf>
    <xf numFmtId="9" fontId="13" fillId="0" borderId="58" xfId="4" applyFont="1" applyBorder="1" applyAlignment="1" applyProtection="1">
      <alignment horizontal="center" vertical="center"/>
      <protection locked="0"/>
    </xf>
    <xf numFmtId="9" fontId="13" fillId="0" borderId="61" xfId="4" applyFont="1" applyBorder="1" applyAlignment="1" applyProtection="1">
      <alignment horizontal="center" vertical="center"/>
      <protection locked="0"/>
    </xf>
    <xf numFmtId="10" fontId="13" fillId="0" borderId="25" xfId="4" applyNumberFormat="1" applyFont="1" applyBorder="1" applyAlignment="1" applyProtection="1">
      <alignment horizontal="center" vertical="center"/>
      <protection locked="0"/>
    </xf>
    <xf numFmtId="167" fontId="13" fillId="0" borderId="2" xfId="4" applyNumberFormat="1" applyFont="1" applyBorder="1" applyAlignment="1" applyProtection="1">
      <alignment horizontal="center" vertical="center"/>
      <protection locked="0"/>
    </xf>
    <xf numFmtId="10" fontId="13" fillId="0" borderId="21" xfId="4" applyNumberFormat="1" applyFont="1" applyBorder="1" applyAlignment="1" applyProtection="1">
      <alignment horizontal="center" vertical="center"/>
      <protection locked="0"/>
    </xf>
    <xf numFmtId="1" fontId="13" fillId="0" borderId="40" xfId="4" applyNumberFormat="1" applyFont="1" applyBorder="1" applyAlignment="1" applyProtection="1">
      <alignment horizontal="center" vertical="center"/>
      <protection locked="0"/>
    </xf>
    <xf numFmtId="1" fontId="13" fillId="0" borderId="44" xfId="4" applyNumberFormat="1" applyFont="1" applyBorder="1" applyAlignment="1" applyProtection="1">
      <alignment horizontal="center" vertical="center"/>
      <protection locked="0"/>
    </xf>
    <xf numFmtId="1" fontId="13" fillId="0" borderId="43" xfId="4" applyNumberFormat="1" applyFont="1" applyBorder="1" applyAlignment="1" applyProtection="1">
      <alignment horizontal="center" vertical="center"/>
      <protection locked="0"/>
    </xf>
    <xf numFmtId="167" fontId="13" fillId="0" borderId="26" xfId="4" applyNumberFormat="1" applyFont="1" applyBorder="1" applyAlignment="1" applyProtection="1">
      <alignment horizontal="center" vertical="center"/>
      <protection locked="0"/>
    </xf>
    <xf numFmtId="167" fontId="13" fillId="0" borderId="3" xfId="4" applyNumberFormat="1" applyFont="1" applyBorder="1" applyAlignment="1" applyProtection="1">
      <alignment horizontal="center" vertical="center"/>
      <protection locked="0"/>
    </xf>
    <xf numFmtId="167" fontId="13" fillId="0" borderId="20" xfId="4" applyNumberFormat="1" applyFont="1" applyBorder="1" applyAlignment="1" applyProtection="1">
      <alignment horizontal="center" vertical="center"/>
      <protection locked="0"/>
    </xf>
    <xf numFmtId="165" fontId="13" fillId="0" borderId="31" xfId="1" applyBorder="1" applyAlignment="1" applyProtection="1">
      <alignment horizontal="center" vertical="center"/>
      <protection locked="0"/>
    </xf>
    <xf numFmtId="165" fontId="13" fillId="0" borderId="37" xfId="1" applyBorder="1" applyAlignment="1" applyProtection="1">
      <alignment horizontal="center" vertical="center"/>
      <protection locked="0"/>
    </xf>
    <xf numFmtId="167" fontId="13" fillId="0" borderId="31" xfId="4" applyNumberFormat="1" applyFont="1" applyBorder="1" applyAlignment="1" applyProtection="1">
      <alignment horizontal="center" vertical="center"/>
      <protection locked="0"/>
    </xf>
    <xf numFmtId="167" fontId="13" fillId="0" borderId="37" xfId="4" applyNumberFormat="1" applyFont="1" applyBorder="1" applyAlignment="1" applyProtection="1">
      <alignment horizontal="center" vertical="center"/>
      <protection locked="0"/>
    </xf>
    <xf numFmtId="167" fontId="13" fillId="0" borderId="84" xfId="4" applyNumberFormat="1" applyFont="1" applyBorder="1" applyAlignment="1" applyProtection="1">
      <alignment horizontal="center" vertical="center"/>
      <protection locked="0"/>
    </xf>
    <xf numFmtId="167" fontId="13" fillId="0" borderId="22" xfId="4" applyNumberFormat="1" applyFont="1" applyBorder="1" applyAlignment="1" applyProtection="1">
      <alignment horizontal="center" vertical="center"/>
      <protection locked="0"/>
    </xf>
    <xf numFmtId="9" fontId="13" fillId="0" borderId="26" xfId="4" applyFont="1" applyBorder="1" applyAlignment="1" applyProtection="1">
      <alignment horizontal="center" vertical="center"/>
      <protection locked="0"/>
    </xf>
    <xf numFmtId="9" fontId="13" fillId="0" borderId="3" xfId="4" applyFont="1" applyBorder="1" applyAlignment="1" applyProtection="1">
      <alignment horizontal="center" vertical="center"/>
      <protection locked="0"/>
    </xf>
    <xf numFmtId="9" fontId="13" fillId="0" borderId="20" xfId="4" applyFont="1" applyBorder="1" applyAlignment="1" applyProtection="1">
      <alignment horizontal="center" vertical="center"/>
      <protection locked="0"/>
    </xf>
    <xf numFmtId="165" fontId="13" fillId="0" borderId="25" xfId="1" applyBorder="1" applyAlignment="1" applyProtection="1">
      <alignment horizontal="center" vertical="center"/>
      <protection locked="0"/>
    </xf>
    <xf numFmtId="165" fontId="13" fillId="0" borderId="21" xfId="1" applyBorder="1" applyAlignment="1" applyProtection="1">
      <alignment horizontal="center" vertical="center"/>
      <protection locked="0"/>
    </xf>
    <xf numFmtId="9" fontId="13" fillId="0" borderId="25" xfId="4" applyFont="1" applyBorder="1" applyAlignment="1" applyProtection="1">
      <alignment horizontal="center" vertical="center"/>
      <protection locked="0"/>
    </xf>
    <xf numFmtId="9" fontId="13" fillId="0" borderId="21" xfId="4" applyFont="1" applyBorder="1" applyAlignment="1" applyProtection="1">
      <alignment horizontal="center" vertical="center"/>
      <protection locked="0"/>
    </xf>
    <xf numFmtId="169" fontId="13" fillId="0" borderId="26" xfId="1" applyNumberFormat="1" applyBorder="1" applyAlignment="1" applyProtection="1">
      <alignment horizontal="center" vertical="center"/>
      <protection locked="0"/>
    </xf>
    <xf numFmtId="169" fontId="13" fillId="0" borderId="3" xfId="1" applyNumberFormat="1" applyBorder="1" applyAlignment="1" applyProtection="1">
      <alignment horizontal="center" vertical="center"/>
      <protection locked="0"/>
    </xf>
    <xf numFmtId="169" fontId="13" fillId="0" borderId="20" xfId="1" applyNumberFormat="1" applyBorder="1" applyAlignment="1" applyProtection="1">
      <alignment horizontal="center" vertical="center"/>
      <protection locked="0"/>
    </xf>
    <xf numFmtId="165" fontId="13" fillId="0" borderId="26" xfId="1" applyBorder="1" applyAlignment="1" applyProtection="1">
      <alignment horizontal="center" vertical="center"/>
      <protection locked="0"/>
    </xf>
    <xf numFmtId="165" fontId="13" fillId="0" borderId="3" xfId="1" applyBorder="1" applyAlignment="1" applyProtection="1">
      <alignment horizontal="center" vertical="center"/>
      <protection locked="0"/>
    </xf>
    <xf numFmtId="165" fontId="13" fillId="0" borderId="20" xfId="1" applyBorder="1" applyAlignment="1" applyProtection="1">
      <alignment horizontal="center" vertical="center"/>
      <protection locked="0"/>
    </xf>
    <xf numFmtId="165" fontId="13" fillId="0" borderId="22" xfId="1" applyBorder="1" applyAlignment="1" applyProtection="1">
      <alignment horizontal="center" vertical="center"/>
      <protection locked="0"/>
    </xf>
    <xf numFmtId="1" fontId="13" fillId="0" borderId="37" xfId="4" applyNumberFormat="1" applyFont="1" applyBorder="1" applyAlignment="1" applyProtection="1">
      <alignment horizontal="center" vertical="center"/>
      <protection locked="0"/>
    </xf>
    <xf numFmtId="165" fontId="13" fillId="0" borderId="37" xfId="4" applyNumberFormat="1" applyFont="1" applyBorder="1" applyAlignment="1" applyProtection="1">
      <alignment horizontal="center" vertical="center"/>
      <protection locked="0"/>
    </xf>
    <xf numFmtId="171" fontId="13" fillId="0" borderId="37" xfId="4" applyNumberFormat="1" applyFont="1" applyBorder="1" applyAlignment="1" applyProtection="1">
      <alignment horizontal="center" vertical="center"/>
      <protection locked="0"/>
    </xf>
    <xf numFmtId="9" fontId="13" fillId="0" borderId="37" xfId="4" applyFont="1" applyBorder="1" applyAlignment="1" applyProtection="1">
      <alignment horizontal="center" vertical="center"/>
      <protection locked="0"/>
    </xf>
    <xf numFmtId="165" fontId="13" fillId="0" borderId="22" xfId="4" applyNumberFormat="1" applyFont="1" applyBorder="1" applyAlignment="1" applyProtection="1">
      <alignment horizontal="center" vertical="center"/>
      <protection locked="0"/>
    </xf>
    <xf numFmtId="165" fontId="13" fillId="0" borderId="40" xfId="1" applyBorder="1" applyAlignment="1" applyProtection="1">
      <alignment horizontal="center" vertical="center" wrapText="1"/>
      <protection locked="0"/>
    </xf>
    <xf numFmtId="165" fontId="13" fillId="0" borderId="41" xfId="1" applyBorder="1" applyAlignment="1" applyProtection="1">
      <alignment horizontal="center" vertical="center" wrapText="1"/>
      <protection locked="0"/>
    </xf>
    <xf numFmtId="165" fontId="13" fillId="0" borderId="43" xfId="1" applyBorder="1" applyAlignment="1" applyProtection="1">
      <alignment horizontal="center" vertical="center" wrapText="1"/>
      <protection locked="0"/>
    </xf>
    <xf numFmtId="9" fontId="13" fillId="0" borderId="19" xfId="4" applyFont="1" applyBorder="1" applyAlignment="1" applyProtection="1">
      <alignment horizontal="center" vertical="center"/>
      <protection locked="0"/>
    </xf>
    <xf numFmtId="167" fontId="13" fillId="0" borderId="29" xfId="4" applyNumberFormat="1" applyFont="1" applyBorder="1" applyAlignment="1" applyProtection="1">
      <alignment horizontal="center" vertical="center"/>
      <protection locked="0"/>
    </xf>
    <xf numFmtId="10" fontId="13" fillId="0" borderId="19" xfId="4" applyNumberFormat="1" applyFont="1" applyBorder="1" applyAlignment="1" applyProtection="1">
      <alignment horizontal="center" vertical="center"/>
      <protection locked="0"/>
    </xf>
    <xf numFmtId="10" fontId="13" fillId="0" borderId="29" xfId="4" applyNumberFormat="1" applyFont="1" applyBorder="1" applyAlignment="1" applyProtection="1">
      <alignment horizontal="center" vertical="center"/>
      <protection locked="0"/>
    </xf>
    <xf numFmtId="1" fontId="13" fillId="0" borderId="42" xfId="4" applyNumberFormat="1" applyFont="1" applyBorder="1" applyAlignment="1" applyProtection="1">
      <alignment horizontal="center" vertical="center"/>
      <protection locked="0"/>
    </xf>
    <xf numFmtId="1" fontId="13" fillId="0" borderId="41" xfId="4" applyNumberFormat="1" applyFont="1" applyBorder="1" applyAlignment="1" applyProtection="1">
      <alignment horizontal="center" vertical="center"/>
      <protection locked="0"/>
    </xf>
    <xf numFmtId="1" fontId="13" fillId="0" borderId="42" xfId="1" applyNumberFormat="1" applyBorder="1" applyAlignment="1" applyProtection="1">
      <alignment horizontal="center" vertical="center"/>
      <protection locked="0"/>
    </xf>
    <xf numFmtId="2" fontId="13" fillId="0" borderId="42" xfId="4" applyNumberFormat="1" applyFont="1" applyBorder="1" applyAlignment="1" applyProtection="1">
      <alignment horizontal="center" vertical="center"/>
      <protection locked="0"/>
    </xf>
    <xf numFmtId="2" fontId="13" fillId="0" borderId="41" xfId="4" applyNumberFormat="1" applyFont="1" applyBorder="1" applyAlignment="1" applyProtection="1">
      <alignment horizontal="center" vertical="center"/>
      <protection locked="0"/>
    </xf>
    <xf numFmtId="2" fontId="13" fillId="0" borderId="43" xfId="4" applyNumberFormat="1" applyFont="1" applyBorder="1" applyAlignment="1" applyProtection="1">
      <alignment horizontal="center" vertical="center"/>
      <protection locked="0"/>
    </xf>
    <xf numFmtId="2" fontId="13" fillId="0" borderId="11" xfId="4" applyNumberFormat="1" applyFont="1" applyBorder="1" applyAlignment="1" applyProtection="1">
      <alignment horizontal="center" vertical="center"/>
      <protection locked="0"/>
    </xf>
    <xf numFmtId="2" fontId="13" fillId="0" borderId="36" xfId="4" applyNumberFormat="1" applyFont="1" applyBorder="1" applyAlignment="1" applyProtection="1">
      <alignment horizontal="center" vertical="center"/>
      <protection locked="0"/>
    </xf>
    <xf numFmtId="165" fontId="13" fillId="0" borderId="29" xfId="1" applyBorder="1" applyAlignment="1" applyProtection="1">
      <alignment horizontal="center" vertical="center"/>
      <protection locked="0"/>
    </xf>
    <xf numFmtId="2" fontId="13" fillId="0" borderId="6" xfId="4" applyNumberFormat="1" applyFont="1" applyBorder="1" applyAlignment="1" applyProtection="1">
      <alignment horizontal="center" vertical="center"/>
      <protection locked="0"/>
    </xf>
    <xf numFmtId="2" fontId="13" fillId="0" borderId="28" xfId="4" applyNumberFormat="1" applyFont="1" applyBorder="1" applyAlignment="1" applyProtection="1">
      <alignment horizontal="center" vertical="center"/>
      <protection locked="0"/>
    </xf>
    <xf numFmtId="165" fontId="13" fillId="0" borderId="44" xfId="1" applyBorder="1" applyAlignment="1" applyProtection="1">
      <alignment horizontal="right" vertical="center"/>
      <protection locked="0"/>
    </xf>
    <xf numFmtId="165" fontId="13" fillId="0" borderId="2" xfId="1" applyAlignment="1" applyProtection="1">
      <alignment vertical="center"/>
      <protection locked="0"/>
    </xf>
    <xf numFmtId="1" fontId="13" fillId="0" borderId="19" xfId="1" applyNumberFormat="1" applyBorder="1" applyAlignment="1" applyProtection="1">
      <alignment horizontal="center" vertical="center"/>
      <protection locked="0"/>
    </xf>
    <xf numFmtId="165" fontId="13" fillId="0" borderId="19" xfId="1" applyBorder="1" applyAlignment="1" applyProtection="1">
      <alignment horizontal="center" vertical="center"/>
      <protection locked="0"/>
    </xf>
    <xf numFmtId="1" fontId="63" fillId="6" borderId="2" xfId="1" applyNumberFormat="1" applyFont="1" applyFill="1" applyAlignment="1" applyProtection="1">
      <alignment horizontal="center" vertical="center"/>
      <protection locked="0"/>
    </xf>
    <xf numFmtId="2" fontId="13" fillId="0" borderId="1" xfId="4" applyNumberFormat="1" applyFont="1" applyBorder="1" applyAlignment="1" applyProtection="1">
      <alignment horizontal="center" vertical="center"/>
      <protection locked="0"/>
    </xf>
    <xf numFmtId="1" fontId="13" fillId="0" borderId="21" xfId="4" applyNumberFormat="1" applyFont="1" applyBorder="1" applyAlignment="1" applyProtection="1">
      <alignment horizontal="center" vertical="center"/>
      <protection locked="0"/>
    </xf>
    <xf numFmtId="9" fontId="13" fillId="0" borderId="2" xfId="1" applyNumberFormat="1" applyProtection="1">
      <alignment horizontal="right"/>
      <protection locked="0"/>
    </xf>
    <xf numFmtId="0" fontId="19" fillId="0" borderId="4" xfId="0" applyFont="1" applyBorder="1" applyAlignment="1" applyProtection="1">
      <alignment horizontal="center" vertical="center"/>
      <protection locked="0"/>
    </xf>
    <xf numFmtId="1" fontId="13" fillId="0" borderId="77" xfId="1" applyNumberFormat="1" applyBorder="1" applyAlignment="1" applyProtection="1">
      <alignment horizontal="center" vertical="center"/>
      <protection locked="0"/>
    </xf>
    <xf numFmtId="1" fontId="13" fillId="0" borderId="76" xfId="1" applyNumberFormat="1" applyBorder="1" applyAlignment="1" applyProtection="1">
      <alignment horizontal="center" vertical="center"/>
      <protection locked="0"/>
    </xf>
    <xf numFmtId="1" fontId="13" fillId="0" borderId="78" xfId="1" applyNumberFormat="1" applyBorder="1" applyAlignment="1" applyProtection="1">
      <alignment horizontal="center" vertical="center"/>
      <protection locked="0"/>
    </xf>
    <xf numFmtId="165" fontId="13" fillId="0" borderId="58" xfId="1" applyBorder="1" applyAlignment="1" applyProtection="1">
      <alignment horizontal="center" vertical="center"/>
      <protection locked="0"/>
    </xf>
    <xf numFmtId="165" fontId="13" fillId="0" borderId="19" xfId="4" applyNumberFormat="1" applyFont="1" applyBorder="1" applyAlignment="1" applyProtection="1">
      <alignment horizontal="center" vertical="center"/>
      <protection locked="0"/>
    </xf>
    <xf numFmtId="171" fontId="13" fillId="0" borderId="2" xfId="4" applyNumberFormat="1" applyFont="1" applyBorder="1" applyAlignment="1" applyProtection="1">
      <alignment horizontal="right"/>
      <protection locked="0"/>
    </xf>
    <xf numFmtId="10" fontId="13" fillId="0" borderId="2" xfId="4" applyNumberFormat="1" applyFont="1" applyBorder="1" applyAlignment="1" applyProtection="1">
      <alignment horizontal="right"/>
      <protection locked="0"/>
    </xf>
    <xf numFmtId="0" fontId="17" fillId="0" borderId="0" xfId="7" applyProtection="1">
      <protection locked="0"/>
    </xf>
    <xf numFmtId="176" fontId="13" fillId="0" borderId="2" xfId="4" applyNumberFormat="1" applyFont="1" applyBorder="1" applyAlignment="1" applyProtection="1">
      <alignment horizontal="right"/>
      <protection locked="0"/>
    </xf>
    <xf numFmtId="175" fontId="50" fillId="0" borderId="14" xfId="6" applyNumberFormat="1" applyFont="1" applyFill="1" applyAlignment="1">
      <alignment horizontal="center"/>
      <protection locked="0"/>
    </xf>
    <xf numFmtId="174" fontId="62" fillId="0" borderId="14" xfId="6" applyNumberFormat="1" applyFont="1" applyFill="1" applyAlignment="1">
      <protection locked="0"/>
    </xf>
    <xf numFmtId="165" fontId="13" fillId="0" borderId="2" xfId="4" applyNumberFormat="1" applyFont="1" applyBorder="1" applyAlignment="1" applyProtection="1">
      <alignment horizontal="right" vertical="center"/>
      <protection locked="0"/>
    </xf>
    <xf numFmtId="14" fontId="50" fillId="0" borderId="9" xfId="0" applyNumberFormat="1" applyFont="1" applyBorder="1" applyAlignment="1" applyProtection="1">
      <alignment horizontal="right" vertical="top" wrapText="1"/>
      <protection locked="0"/>
    </xf>
    <xf numFmtId="5" fontId="4" fillId="0" borderId="1" xfId="0" applyNumberFormat="1" applyFont="1" applyBorder="1" applyAlignment="1">
      <alignment vertical="center"/>
    </xf>
    <xf numFmtId="7" fontId="14" fillId="0" borderId="0" xfId="0" applyNumberFormat="1" applyFont="1" applyAlignment="1">
      <alignment vertical="center"/>
    </xf>
    <xf numFmtId="44" fontId="14" fillId="0" borderId="0" xfId="0" applyNumberFormat="1" applyFont="1" applyAlignment="1">
      <alignment vertical="center"/>
    </xf>
    <xf numFmtId="2" fontId="0" fillId="0" borderId="0" xfId="4" applyNumberFormat="1" applyFont="1" applyFill="1"/>
    <xf numFmtId="0" fontId="45" fillId="0" borderId="0" xfId="0" applyFont="1"/>
    <xf numFmtId="0" fontId="44" fillId="0" borderId="0" xfId="0" applyFont="1"/>
    <xf numFmtId="9" fontId="0" fillId="0" borderId="0" xfId="0" applyNumberFormat="1" applyAlignment="1">
      <alignment vertical="center" wrapText="1"/>
    </xf>
    <xf numFmtId="9" fontId="0" fillId="0" borderId="0" xfId="0" applyNumberFormat="1" applyAlignment="1">
      <alignment vertical="center"/>
    </xf>
    <xf numFmtId="164" fontId="1" fillId="0" borderId="0" xfId="3" applyNumberFormat="1" applyFont="1"/>
    <xf numFmtId="164" fontId="53" fillId="0" borderId="45" xfId="3" applyNumberFormat="1" applyFont="1" applyBorder="1"/>
    <xf numFmtId="164" fontId="1" fillId="0" borderId="0" xfId="3" applyNumberFormat="1" applyFont="1" applyFill="1"/>
    <xf numFmtId="164" fontId="58" fillId="0" borderId="0" xfId="3" applyNumberFormat="1" applyFont="1" applyFill="1"/>
    <xf numFmtId="164" fontId="1" fillId="7" borderId="0" xfId="3" applyNumberFormat="1" applyFont="1" applyFill="1"/>
    <xf numFmtId="0" fontId="47" fillId="0" borderId="0" xfId="0" applyFont="1" applyAlignment="1">
      <alignment wrapText="1"/>
    </xf>
    <xf numFmtId="0" fontId="45" fillId="0" borderId="0" xfId="0" applyFont="1" applyAlignment="1">
      <alignment wrapText="1"/>
    </xf>
    <xf numFmtId="0" fontId="46" fillId="0" borderId="0" xfId="0" applyFont="1" applyAlignment="1">
      <alignment wrapText="1"/>
    </xf>
    <xf numFmtId="0" fontId="4" fillId="0" borderId="0" xfId="0" applyFont="1"/>
    <xf numFmtId="0" fontId="58" fillId="0" borderId="0" xfId="0" applyFont="1" applyAlignment="1">
      <alignment wrapText="1"/>
    </xf>
    <xf numFmtId="164" fontId="0" fillId="0" borderId="0" xfId="3" applyNumberFormat="1" applyFont="1" applyBorder="1"/>
    <xf numFmtId="164" fontId="58" fillId="0" borderId="0" xfId="3" applyNumberFormat="1" applyFont="1" applyBorder="1"/>
    <xf numFmtId="164" fontId="53" fillId="0" borderId="0" xfId="3" applyNumberFormat="1" applyFont="1" applyBorder="1"/>
    <xf numFmtId="44" fontId="43" fillId="3" borderId="1" xfId="0" applyNumberFormat="1" applyFont="1" applyFill="1" applyBorder="1" applyAlignment="1">
      <alignment horizontal="left"/>
    </xf>
    <xf numFmtId="44" fontId="43" fillId="3" borderId="11" xfId="0" applyNumberFormat="1" applyFont="1" applyFill="1" applyBorder="1" applyAlignment="1">
      <alignment horizontal="left"/>
    </xf>
    <xf numFmtId="44" fontId="43" fillId="3" borderId="7" xfId="0" applyNumberFormat="1" applyFont="1" applyFill="1" applyBorder="1" applyAlignment="1">
      <alignment horizontal="left"/>
    </xf>
    <xf numFmtId="44" fontId="45" fillId="3" borderId="1" xfId="0" applyNumberFormat="1" applyFont="1" applyFill="1" applyBorder="1" applyAlignment="1">
      <alignment horizontal="left"/>
    </xf>
    <xf numFmtId="0" fontId="71" fillId="0" borderId="9" xfId="0" applyFont="1" applyBorder="1"/>
    <xf numFmtId="0" fontId="72" fillId="0" borderId="0" xfId="0" applyFont="1"/>
    <xf numFmtId="0" fontId="72" fillId="0" borderId="9" xfId="0" applyFont="1" applyBorder="1"/>
    <xf numFmtId="0" fontId="73" fillId="0" borderId="0" xfId="0" applyFont="1"/>
    <xf numFmtId="0" fontId="73" fillId="0" borderId="6" xfId="0" applyFont="1" applyBorder="1"/>
    <xf numFmtId="44" fontId="74" fillId="0" borderId="0" xfId="3" applyFont="1" applyBorder="1" applyAlignment="1">
      <alignment vertical="center"/>
    </xf>
    <xf numFmtId="44" fontId="74" fillId="0" borderId="6" xfId="3" applyFont="1" applyBorder="1" applyAlignment="1">
      <alignment vertical="center"/>
    </xf>
    <xf numFmtId="0" fontId="75" fillId="0" borderId="9" xfId="0" applyFont="1" applyBorder="1"/>
    <xf numFmtId="164" fontId="72" fillId="0" borderId="0" xfId="3" applyNumberFormat="1" applyFont="1" applyBorder="1"/>
    <xf numFmtId="164" fontId="72" fillId="0" borderId="6" xfId="3" applyNumberFormat="1" applyFont="1" applyBorder="1"/>
    <xf numFmtId="44" fontId="74" fillId="0" borderId="0" xfId="3" applyFont="1" applyAlignment="1">
      <alignment vertical="center"/>
    </xf>
    <xf numFmtId="44" fontId="74" fillId="0" borderId="0" xfId="3" applyFont="1" applyFill="1" applyBorder="1" applyAlignment="1">
      <alignment vertical="center"/>
    </xf>
    <xf numFmtId="44" fontId="74" fillId="0" borderId="6" xfId="3" applyFont="1" applyFill="1" applyBorder="1" applyAlignment="1">
      <alignment vertical="center"/>
    </xf>
    <xf numFmtId="164" fontId="72" fillId="0" borderId="0" xfId="3" applyNumberFormat="1" applyFont="1" applyFill="1" applyBorder="1"/>
    <xf numFmtId="164" fontId="72" fillId="0" borderId="6" xfId="3" applyNumberFormat="1" applyFont="1" applyFill="1" applyBorder="1"/>
    <xf numFmtId="0" fontId="72" fillId="0" borderId="6" xfId="0" applyFont="1" applyBorder="1"/>
    <xf numFmtId="16" fontId="72" fillId="0" borderId="9" xfId="0" applyNumberFormat="1" applyFont="1" applyBorder="1"/>
    <xf numFmtId="2" fontId="72" fillId="0" borderId="9" xfId="0" applyNumberFormat="1" applyFont="1" applyBorder="1"/>
    <xf numFmtId="0" fontId="72" fillId="0" borderId="7" xfId="0" applyFont="1" applyBorder="1"/>
    <xf numFmtId="0" fontId="72" fillId="0" borderId="1" xfId="0" applyFont="1" applyBorder="1"/>
    <xf numFmtId="164" fontId="72" fillId="0" borderId="1" xfId="3" applyNumberFormat="1" applyFont="1" applyBorder="1"/>
    <xf numFmtId="164" fontId="72" fillId="0" borderId="11" xfId="3" applyNumberFormat="1" applyFont="1" applyBorder="1"/>
    <xf numFmtId="164" fontId="72" fillId="0" borderId="1" xfId="3" applyNumberFormat="1" applyFont="1" applyFill="1" applyBorder="1"/>
    <xf numFmtId="164" fontId="72" fillId="0" borderId="11" xfId="3" applyNumberFormat="1" applyFont="1" applyFill="1" applyBorder="1"/>
    <xf numFmtId="164" fontId="72" fillId="0" borderId="0" xfId="3" applyNumberFormat="1" applyFont="1"/>
    <xf numFmtId="44" fontId="76" fillId="3" borderId="7" xfId="0" applyNumberFormat="1" applyFont="1" applyFill="1" applyBorder="1"/>
    <xf numFmtId="44" fontId="77" fillId="3" borderId="1" xfId="0" applyNumberFormat="1" applyFont="1" applyFill="1" applyBorder="1"/>
    <xf numFmtId="44" fontId="77" fillId="3" borderId="11" xfId="0" applyNumberFormat="1" applyFont="1" applyFill="1" applyBorder="1"/>
    <xf numFmtId="9" fontId="72" fillId="0" borderId="10" xfId="4" applyFont="1" applyBorder="1"/>
    <xf numFmtId="9" fontId="72" fillId="0" borderId="17" xfId="4" applyFont="1" applyBorder="1"/>
    <xf numFmtId="9" fontId="72" fillId="0" borderId="5" xfId="4" applyFont="1" applyBorder="1"/>
    <xf numFmtId="9" fontId="72" fillId="0" borderId="0" xfId="4" applyFont="1"/>
    <xf numFmtId="9" fontId="72" fillId="0" borderId="9" xfId="4" applyFont="1" applyBorder="1"/>
    <xf numFmtId="9" fontId="72" fillId="0" borderId="0" xfId="4" applyFont="1" applyBorder="1"/>
    <xf numFmtId="9" fontId="72" fillId="0" borderId="6" xfId="4" applyFont="1" applyBorder="1"/>
    <xf numFmtId="9" fontId="72" fillId="0" borderId="7" xfId="4" applyFont="1" applyBorder="1"/>
    <xf numFmtId="9" fontId="72" fillId="0" borderId="1" xfId="4" applyFont="1" applyBorder="1"/>
    <xf numFmtId="9" fontId="72" fillId="0" borderId="11" xfId="4" applyFont="1" applyBorder="1"/>
    <xf numFmtId="0" fontId="73" fillId="0" borderId="35" xfId="0" applyFont="1" applyBorder="1"/>
    <xf numFmtId="167" fontId="72" fillId="0" borderId="35" xfId="4" applyNumberFormat="1" applyFont="1" applyBorder="1"/>
    <xf numFmtId="167" fontId="72" fillId="0" borderId="17" xfId="4" applyNumberFormat="1" applyFont="1" applyBorder="1"/>
    <xf numFmtId="167" fontId="72" fillId="0" borderId="5" xfId="4" applyNumberFormat="1" applyFont="1" applyBorder="1"/>
    <xf numFmtId="167" fontId="72" fillId="0" borderId="0" xfId="4" applyNumberFormat="1" applyFont="1" applyBorder="1"/>
    <xf numFmtId="0" fontId="73" fillId="0" borderId="28" xfId="0" applyFont="1" applyBorder="1"/>
    <xf numFmtId="9" fontId="72" fillId="0" borderId="28" xfId="4" applyFont="1" applyBorder="1"/>
    <xf numFmtId="0" fontId="73" fillId="0" borderId="36" xfId="0" applyFont="1" applyBorder="1"/>
    <xf numFmtId="0" fontId="72" fillId="0" borderId="36" xfId="0" applyFont="1" applyBorder="1"/>
    <xf numFmtId="0" fontId="72" fillId="0" borderId="11" xfId="0" applyFont="1" applyBorder="1"/>
    <xf numFmtId="0" fontId="72" fillId="0" borderId="0" xfId="0" applyFont="1" applyAlignment="1">
      <alignment wrapText="1"/>
    </xf>
    <xf numFmtId="44" fontId="77" fillId="13" borderId="7" xfId="0" applyNumberFormat="1" applyFont="1" applyFill="1" applyBorder="1" applyAlignment="1">
      <alignment vertical="top" wrapText="1"/>
    </xf>
    <xf numFmtId="44" fontId="77" fillId="13" borderId="1" xfId="0" applyNumberFormat="1" applyFont="1" applyFill="1" applyBorder="1" applyAlignment="1">
      <alignment vertical="top" wrapText="1"/>
    </xf>
    <xf numFmtId="44" fontId="77" fillId="13" borderId="11" xfId="0" applyNumberFormat="1" applyFont="1" applyFill="1" applyBorder="1" applyAlignment="1">
      <alignment vertical="top" wrapText="1"/>
    </xf>
    <xf numFmtId="167" fontId="72" fillId="0" borderId="9" xfId="4" applyNumberFormat="1" applyFont="1" applyBorder="1"/>
    <xf numFmtId="167" fontId="72" fillId="0" borderId="6" xfId="4" applyNumberFormat="1" applyFont="1" applyBorder="1"/>
    <xf numFmtId="167" fontId="73" fillId="0" borderId="17" xfId="4" applyNumberFormat="1" applyFont="1" applyBorder="1"/>
    <xf numFmtId="167" fontId="72" fillId="0" borderId="10" xfId="4" applyNumberFormat="1" applyFont="1" applyBorder="1"/>
    <xf numFmtId="0" fontId="73" fillId="0" borderId="1" xfId="0" applyFont="1" applyBorder="1"/>
    <xf numFmtId="0" fontId="78" fillId="0" borderId="0" xfId="0" applyFont="1"/>
    <xf numFmtId="164" fontId="78" fillId="0" borderId="0" xfId="3" applyNumberFormat="1" applyFont="1" applyBorder="1"/>
    <xf numFmtId="164" fontId="78" fillId="0" borderId="6" xfId="3" applyNumberFormat="1" applyFont="1" applyBorder="1"/>
    <xf numFmtId="0" fontId="79" fillId="0" borderId="9" xfId="0" applyFont="1" applyBorder="1"/>
    <xf numFmtId="0" fontId="78" fillId="0" borderId="9" xfId="0" applyFont="1" applyBorder="1"/>
    <xf numFmtId="164" fontId="78" fillId="0" borderId="0" xfId="3" applyNumberFormat="1" applyFont="1" applyFill="1" applyBorder="1"/>
    <xf numFmtId="164" fontId="78" fillId="0" borderId="6" xfId="3" applyNumberFormat="1" applyFont="1" applyFill="1" applyBorder="1"/>
    <xf numFmtId="0" fontId="78" fillId="0" borderId="6" xfId="0" applyFont="1" applyBorder="1"/>
    <xf numFmtId="0" fontId="14" fillId="14" borderId="83" xfId="0" applyFont="1" applyFill="1" applyBorder="1" applyAlignment="1">
      <alignment vertical="center"/>
    </xf>
    <xf numFmtId="164" fontId="81" fillId="0" borderId="0" xfId="3" applyNumberFormat="1" applyFont="1"/>
    <xf numFmtId="0" fontId="67" fillId="0" borderId="9" xfId="0" applyFont="1" applyBorder="1" applyAlignment="1" applyProtection="1">
      <alignment horizontal="left" vertical="center" indent="1"/>
      <protection locked="0"/>
    </xf>
    <xf numFmtId="165" fontId="13" fillId="0" borderId="3" xfId="1" applyBorder="1" applyAlignment="1" applyProtection="1">
      <alignment vertical="center"/>
      <protection locked="0"/>
    </xf>
    <xf numFmtId="165" fontId="14" fillId="0" borderId="63" xfId="0" applyNumberFormat="1" applyFont="1" applyBorder="1" applyAlignment="1">
      <alignment vertical="center"/>
    </xf>
    <xf numFmtId="165" fontId="13" fillId="0" borderId="2" xfId="1" applyAlignment="1">
      <alignment horizontal="right" vertical="center"/>
    </xf>
    <xf numFmtId="0" fontId="14" fillId="0" borderId="0" xfId="0" applyFont="1" applyAlignment="1">
      <alignment horizontal="left" wrapText="1"/>
    </xf>
    <xf numFmtId="9" fontId="14" fillId="0" borderId="96" xfId="4" applyFont="1" applyBorder="1" applyAlignment="1">
      <alignment horizontal="center" vertical="center"/>
    </xf>
    <xf numFmtId="0" fontId="14" fillId="0" borderId="97" xfId="0" applyFont="1" applyBorder="1" applyAlignment="1">
      <alignment horizontal="center" vertical="center" wrapText="1"/>
    </xf>
    <xf numFmtId="9" fontId="14" fillId="0" borderId="96" xfId="4" applyFont="1" applyFill="1" applyBorder="1" applyAlignment="1">
      <alignment horizontal="center" vertical="center"/>
    </xf>
    <xf numFmtId="9" fontId="14" fillId="0" borderId="96" xfId="4" applyFont="1" applyBorder="1" applyAlignment="1">
      <alignment horizontal="center" vertical="center" wrapText="1"/>
    </xf>
    <xf numFmtId="0" fontId="14" fillId="0" borderId="98" xfId="0" applyFont="1" applyBorder="1" applyAlignment="1">
      <alignment horizontal="center" vertical="center" wrapText="1"/>
    </xf>
    <xf numFmtId="0" fontId="24" fillId="2" borderId="49" xfId="0" applyFont="1" applyFill="1" applyBorder="1" applyAlignment="1">
      <alignment vertical="center"/>
    </xf>
    <xf numFmtId="0" fontId="14" fillId="2" borderId="50" xfId="0" applyFont="1" applyFill="1" applyBorder="1" applyAlignment="1">
      <alignment vertical="center"/>
    </xf>
    <xf numFmtId="0" fontId="14" fillId="0" borderId="96" xfId="0" applyFont="1" applyBorder="1" applyAlignment="1">
      <alignment horizontal="center" vertical="center" wrapText="1"/>
    </xf>
    <xf numFmtId="0" fontId="14" fillId="0" borderId="48" xfId="0" applyFont="1" applyBorder="1" applyAlignment="1">
      <alignment horizontal="center" vertical="center"/>
    </xf>
    <xf numFmtId="0" fontId="24" fillId="2" borderId="23" xfId="0" applyFont="1" applyFill="1" applyBorder="1" applyAlignment="1">
      <alignment vertical="center"/>
    </xf>
    <xf numFmtId="1" fontId="13" fillId="0" borderId="60" xfId="1" applyNumberFormat="1" applyBorder="1" applyAlignment="1" applyProtection="1">
      <alignment horizontal="center" vertical="center"/>
      <protection locked="0"/>
    </xf>
    <xf numFmtId="1" fontId="13" fillId="0" borderId="25" xfId="1" applyNumberFormat="1" applyBorder="1" applyAlignment="1" applyProtection="1">
      <alignment horizontal="center" vertical="center"/>
      <protection locked="0"/>
    </xf>
    <xf numFmtId="0" fontId="14" fillId="0" borderId="28" xfId="0" applyFont="1" applyBorder="1" applyAlignment="1">
      <alignment horizontal="center" vertical="center"/>
    </xf>
    <xf numFmtId="0" fontId="14" fillId="0" borderId="35" xfId="0" applyFont="1" applyBorder="1" applyAlignment="1">
      <alignment horizontal="center" vertical="center"/>
    </xf>
    <xf numFmtId="165" fontId="13" fillId="0" borderId="40" xfId="1" applyBorder="1" applyAlignment="1" applyProtection="1">
      <alignment horizontal="center" vertical="center"/>
      <protection locked="0"/>
    </xf>
    <xf numFmtId="165" fontId="13" fillId="0" borderId="44" xfId="1" applyBorder="1" applyAlignment="1" applyProtection="1">
      <alignment horizontal="center" vertical="center"/>
      <protection locked="0"/>
    </xf>
    <xf numFmtId="0" fontId="14" fillId="0" borderId="38" xfId="0" applyFont="1" applyBorder="1" applyAlignment="1">
      <alignment vertical="center"/>
    </xf>
    <xf numFmtId="165" fontId="13" fillId="0" borderId="100" xfId="1" applyBorder="1" applyAlignment="1" applyProtection="1">
      <alignment horizontal="center" vertical="center"/>
      <protection locked="0"/>
    </xf>
    <xf numFmtId="0" fontId="9" fillId="0" borderId="10" xfId="0" applyFont="1" applyBorder="1" applyAlignment="1" applyProtection="1">
      <alignment horizontal="right" vertical="center"/>
      <protection locked="0"/>
    </xf>
    <xf numFmtId="0" fontId="10" fillId="0" borderId="9" xfId="0" applyFont="1" applyBorder="1" applyAlignment="1">
      <alignment horizontal="right" vertical="center"/>
    </xf>
    <xf numFmtId="0" fontId="9" fillId="0" borderId="10" xfId="0" applyFont="1" applyBorder="1" applyAlignment="1" applyProtection="1">
      <alignment horizontal="right" vertical="center" wrapText="1"/>
      <protection locked="0"/>
    </xf>
    <xf numFmtId="179" fontId="4" fillId="0" borderId="27" xfId="4" applyNumberFormat="1" applyFont="1" applyFill="1" applyBorder="1" applyAlignment="1" applyProtection="1">
      <alignment horizontal="center" vertical="center"/>
      <protection locked="0"/>
    </xf>
    <xf numFmtId="165" fontId="13" fillId="0" borderId="43" xfId="1" applyBorder="1" applyAlignment="1" applyProtection="1">
      <alignment horizontal="center" vertical="center"/>
      <protection locked="0"/>
    </xf>
    <xf numFmtId="1" fontId="13" fillId="0" borderId="1" xfId="1" applyNumberFormat="1" applyBorder="1" applyAlignment="1" applyProtection="1">
      <alignment horizontal="center" vertical="center"/>
      <protection locked="0"/>
    </xf>
    <xf numFmtId="165" fontId="13" fillId="0" borderId="1" xfId="1" applyBorder="1" applyAlignment="1" applyProtection="1">
      <alignment horizontal="center" vertical="center"/>
      <protection locked="0"/>
    </xf>
    <xf numFmtId="165" fontId="13" fillId="0" borderId="11" xfId="1" applyBorder="1" applyAlignment="1" applyProtection="1">
      <alignment horizontal="center" vertical="center"/>
      <protection locked="0"/>
    </xf>
    <xf numFmtId="9" fontId="14" fillId="0" borderId="0" xfId="4" applyFont="1" applyBorder="1" applyAlignment="1">
      <alignment horizontal="center" vertical="center"/>
    </xf>
    <xf numFmtId="0" fontId="82" fillId="0" borderId="9" xfId="0" applyFont="1" applyBorder="1" applyAlignment="1">
      <alignment horizontal="left" vertical="center"/>
    </xf>
    <xf numFmtId="9" fontId="6" fillId="0" borderId="97" xfId="4" applyFont="1" applyBorder="1" applyAlignment="1">
      <alignment horizontal="center" vertical="center"/>
    </xf>
    <xf numFmtId="9" fontId="6" fillId="0" borderId="99" xfId="4" applyFont="1" applyBorder="1" applyAlignment="1">
      <alignment horizontal="center" vertical="center"/>
    </xf>
    <xf numFmtId="165" fontId="32" fillId="0" borderId="0" xfId="0" applyNumberFormat="1" applyFont="1" applyAlignment="1">
      <alignment vertical="center"/>
    </xf>
    <xf numFmtId="0" fontId="14" fillId="0" borderId="9" xfId="0" applyFont="1" applyBorder="1" applyAlignment="1">
      <alignment horizontal="left" wrapText="1"/>
    </xf>
    <xf numFmtId="0" fontId="14" fillId="0" borderId="6" xfId="0" applyFont="1" applyBorder="1" applyAlignment="1">
      <alignment horizontal="left" wrapText="1"/>
    </xf>
    <xf numFmtId="0" fontId="4" fillId="6" borderId="0" xfId="0" applyFont="1" applyFill="1" applyAlignment="1">
      <alignment vertical="center" wrapText="1"/>
    </xf>
    <xf numFmtId="165" fontId="70" fillId="0" borderId="2" xfId="1" applyFont="1" applyAlignment="1">
      <alignment horizontal="center"/>
    </xf>
    <xf numFmtId="0" fontId="18" fillId="13" borderId="17" xfId="0" applyFont="1" applyFill="1" applyBorder="1" applyAlignment="1" applyProtection="1">
      <alignment horizontal="left" vertical="center"/>
      <protection locked="0"/>
    </xf>
    <xf numFmtId="0" fontId="82" fillId="0" borderId="0" xfId="0" applyFont="1" applyAlignment="1">
      <alignment horizontal="left" vertical="center"/>
    </xf>
    <xf numFmtId="0" fontId="14" fillId="0" borderId="1" xfId="0" applyFont="1" applyBorder="1" applyAlignment="1">
      <alignment horizontal="left" vertical="center"/>
    </xf>
    <xf numFmtId="0" fontId="10" fillId="0" borderId="17" xfId="0" applyFont="1" applyBorder="1" applyAlignment="1">
      <alignment vertical="center"/>
    </xf>
    <xf numFmtId="0" fontId="10" fillId="0" borderId="18" xfId="0" applyFont="1" applyBorder="1" applyAlignment="1">
      <alignment vertical="center"/>
    </xf>
    <xf numFmtId="0" fontId="32" fillId="0" borderId="0" xfId="0" applyFont="1" applyAlignment="1">
      <alignment vertical="center"/>
    </xf>
    <xf numFmtId="0" fontId="30" fillId="0" borderId="0" xfId="0" applyFont="1" applyAlignment="1">
      <alignment vertical="center"/>
    </xf>
    <xf numFmtId="0" fontId="4" fillId="0" borderId="1" xfId="0" applyFont="1" applyBorder="1" applyAlignment="1">
      <alignment vertical="center"/>
    </xf>
    <xf numFmtId="165" fontId="14" fillId="0" borderId="0" xfId="7" applyNumberFormat="1" applyFont="1" applyAlignment="1">
      <alignment vertical="center"/>
    </xf>
    <xf numFmtId="180" fontId="32" fillId="0" borderId="0" xfId="0" applyNumberFormat="1" applyFont="1" applyAlignment="1">
      <alignment vertical="center"/>
    </xf>
    <xf numFmtId="165" fontId="9" fillId="0" borderId="6" xfId="3" applyNumberFormat="1" applyFont="1" applyFill="1" applyBorder="1" applyAlignment="1">
      <alignment horizontal="center" vertical="center"/>
    </xf>
    <xf numFmtId="165" fontId="9" fillId="0" borderId="6" xfId="3" applyNumberFormat="1" applyFont="1" applyFill="1" applyBorder="1" applyAlignment="1">
      <alignment horizontal="right" vertical="center"/>
    </xf>
    <xf numFmtId="5" fontId="10" fillId="12" borderId="1" xfId="0" applyNumberFormat="1" applyFont="1" applyFill="1" applyBorder="1" applyAlignment="1">
      <alignment horizontal="right" vertical="center"/>
    </xf>
    <xf numFmtId="0" fontId="10" fillId="0" borderId="33" xfId="0" applyFont="1" applyBorder="1" applyAlignment="1">
      <alignment vertical="center"/>
    </xf>
    <xf numFmtId="0" fontId="10" fillId="0" borderId="32" xfId="0" applyFont="1" applyBorder="1" applyAlignment="1">
      <alignment vertical="center"/>
    </xf>
    <xf numFmtId="165" fontId="10" fillId="0" borderId="32" xfId="0" applyNumberFormat="1" applyFont="1" applyBorder="1" applyAlignment="1">
      <alignment vertical="center"/>
    </xf>
    <xf numFmtId="0" fontId="14" fillId="6" borderId="0" xfId="0" applyFont="1" applyFill="1" applyAlignment="1">
      <alignment vertical="center" wrapText="1"/>
    </xf>
    <xf numFmtId="0" fontId="83" fillId="0" borderId="9" xfId="0" applyFont="1" applyBorder="1" applyAlignment="1">
      <alignment horizontal="left"/>
    </xf>
    <xf numFmtId="0" fontId="14" fillId="0" borderId="0" xfId="0" applyFont="1" applyAlignment="1">
      <alignment horizontal="left" vertical="center" indent="1"/>
    </xf>
    <xf numFmtId="10" fontId="4" fillId="0" borderId="0" xfId="4" applyNumberFormat="1" applyFont="1" applyFill="1" applyBorder="1" applyAlignment="1">
      <alignment horizontal="left" vertical="center" indent="1"/>
    </xf>
    <xf numFmtId="165" fontId="4" fillId="0" borderId="0" xfId="0" quotePrefix="1" applyNumberFormat="1" applyFont="1" applyAlignment="1">
      <alignment horizontal="right" vertical="center"/>
    </xf>
    <xf numFmtId="165" fontId="4" fillId="0" borderId="0" xfId="0" quotePrefix="1" applyNumberFormat="1" applyFont="1" applyAlignment="1">
      <alignment vertical="center"/>
    </xf>
    <xf numFmtId="0" fontId="10" fillId="0" borderId="17" xfId="0" applyFont="1" applyBorder="1" applyAlignment="1">
      <alignment horizontal="left" vertical="center" indent="1"/>
    </xf>
    <xf numFmtId="165" fontId="9" fillId="0" borderId="17" xfId="0" applyNumberFormat="1" applyFont="1" applyBorder="1" applyAlignment="1">
      <alignment horizontal="right" vertical="center"/>
    </xf>
    <xf numFmtId="0" fontId="84" fillId="13" borderId="0" xfId="0" applyFont="1" applyFill="1" applyAlignment="1">
      <alignment vertical="center"/>
    </xf>
    <xf numFmtId="166" fontId="85" fillId="0" borderId="0" xfId="0" applyNumberFormat="1" applyFont="1" applyAlignment="1">
      <alignment vertical="center"/>
    </xf>
    <xf numFmtId="165" fontId="4" fillId="0" borderId="0" xfId="4" applyNumberFormat="1" applyFont="1" applyFill="1" applyBorder="1" applyAlignment="1">
      <alignment vertical="center"/>
    </xf>
    <xf numFmtId="1" fontId="13" fillId="0" borderId="103" xfId="1" applyNumberFormat="1" applyBorder="1" applyAlignment="1">
      <alignment horizontal="center" vertical="center"/>
    </xf>
    <xf numFmtId="1" fontId="13" fillId="0" borderId="29" xfId="1" applyNumberFormat="1" applyBorder="1" applyAlignment="1">
      <alignment horizontal="center" vertical="center"/>
    </xf>
    <xf numFmtId="0" fontId="38" fillId="0" borderId="104" xfId="0" applyFont="1" applyBorder="1" applyAlignment="1" applyProtection="1">
      <alignment horizontal="center" vertical="center"/>
      <protection locked="0"/>
    </xf>
    <xf numFmtId="1" fontId="13" fillId="0" borderId="102" xfId="1" applyNumberFormat="1" applyBorder="1" applyAlignment="1">
      <alignment horizontal="center" vertical="center"/>
    </xf>
    <xf numFmtId="0" fontId="38" fillId="0" borderId="101" xfId="0" applyFont="1" applyBorder="1" applyAlignment="1" applyProtection="1">
      <alignment horizontal="center" vertical="center"/>
      <protection locked="0"/>
    </xf>
    <xf numFmtId="5" fontId="10" fillId="0" borderId="17" xfId="0" applyNumberFormat="1" applyFont="1" applyBorder="1" applyAlignment="1">
      <alignment vertical="center"/>
    </xf>
    <xf numFmtId="165" fontId="14" fillId="0" borderId="18" xfId="0" applyNumberFormat="1" applyFont="1" applyBorder="1" applyAlignment="1">
      <alignment vertical="center"/>
    </xf>
    <xf numFmtId="165" fontId="14" fillId="0" borderId="17" xfId="0" applyNumberFormat="1" applyFont="1" applyBorder="1" applyAlignment="1">
      <alignment horizontal="right" vertical="center"/>
    </xf>
    <xf numFmtId="165" fontId="14" fillId="0" borderId="18" xfId="0" applyNumberFormat="1" applyFont="1" applyBorder="1" applyAlignment="1">
      <alignment horizontal="right" vertical="center"/>
    </xf>
    <xf numFmtId="0" fontId="38" fillId="0" borderId="43" xfId="0" applyFont="1" applyBorder="1" applyAlignment="1" applyProtection="1">
      <alignment horizontal="center" vertical="center"/>
      <protection locked="0"/>
    </xf>
    <xf numFmtId="1" fontId="13" fillId="0" borderId="21" xfId="1" applyNumberFormat="1" applyBorder="1" applyAlignment="1">
      <alignment horizontal="center" vertical="center"/>
    </xf>
    <xf numFmtId="1" fontId="13" fillId="0" borderId="25" xfId="1" applyNumberFormat="1" applyBorder="1" applyAlignment="1">
      <alignment horizontal="center" vertical="center"/>
    </xf>
    <xf numFmtId="165" fontId="65" fillId="0" borderId="0" xfId="6" applyNumberFormat="1" applyFont="1" applyFill="1" applyBorder="1" applyAlignment="1">
      <alignment horizontal="center" vertical="center"/>
      <protection locked="0"/>
    </xf>
    <xf numFmtId="0" fontId="19" fillId="0" borderId="0" xfId="0" applyFont="1" applyAlignment="1" applyProtection="1">
      <alignment horizontal="center" vertical="center"/>
      <protection locked="0"/>
    </xf>
    <xf numFmtId="165" fontId="13" fillId="0" borderId="0" xfId="1" applyBorder="1" applyAlignment="1" applyProtection="1">
      <alignment horizontal="center" vertical="center" wrapText="1"/>
      <protection locked="0"/>
    </xf>
    <xf numFmtId="9" fontId="13" fillId="0" borderId="0" xfId="4" applyFont="1" applyBorder="1" applyAlignment="1" applyProtection="1">
      <alignment horizontal="center" vertical="center"/>
      <protection locked="0"/>
    </xf>
    <xf numFmtId="10" fontId="13" fillId="0" borderId="0" xfId="4" applyNumberFormat="1" applyFont="1" applyBorder="1" applyAlignment="1" applyProtection="1">
      <alignment horizontal="center" vertical="center"/>
      <protection locked="0"/>
    </xf>
    <xf numFmtId="1" fontId="13" fillId="0" borderId="0" xfId="4" applyNumberFormat="1" applyFont="1" applyBorder="1" applyAlignment="1" applyProtection="1">
      <alignment horizontal="center" vertical="center"/>
      <protection locked="0"/>
    </xf>
    <xf numFmtId="167" fontId="13" fillId="0" borderId="0" xfId="4" applyNumberFormat="1" applyFont="1" applyBorder="1" applyAlignment="1" applyProtection="1">
      <alignment horizontal="center" vertical="center"/>
      <protection locked="0"/>
    </xf>
    <xf numFmtId="165" fontId="13" fillId="0" borderId="0" xfId="1" applyBorder="1" applyAlignment="1" applyProtection="1">
      <alignment horizontal="center" vertical="center"/>
      <protection locked="0"/>
    </xf>
    <xf numFmtId="169" fontId="13" fillId="0" borderId="0" xfId="1" applyNumberFormat="1" applyBorder="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4" fillId="17" borderId="9" xfId="0" applyFont="1" applyFill="1" applyBorder="1" applyAlignment="1">
      <alignment horizontal="left"/>
    </xf>
    <xf numFmtId="0" fontId="28" fillId="0" borderId="9" xfId="0" applyFont="1" applyBorder="1"/>
    <xf numFmtId="0" fontId="33" fillId="2" borderId="50" xfId="0" applyFont="1" applyFill="1" applyBorder="1" applyAlignment="1">
      <alignment horizontal="center"/>
    </xf>
    <xf numFmtId="0" fontId="17" fillId="0" borderId="0" xfId="0" applyFont="1"/>
    <xf numFmtId="0" fontId="17" fillId="0" borderId="48" xfId="0" applyFont="1" applyBorder="1"/>
    <xf numFmtId="0" fontId="17" fillId="0" borderId="52" xfId="0" applyFont="1" applyBorder="1"/>
    <xf numFmtId="0" fontId="17" fillId="0" borderId="49" xfId="0" applyFont="1" applyBorder="1"/>
    <xf numFmtId="165" fontId="17" fillId="0" borderId="57" xfId="0" applyNumberFormat="1" applyFont="1" applyBorder="1"/>
    <xf numFmtId="0" fontId="33" fillId="2" borderId="49" xfId="0" applyFont="1" applyFill="1" applyBorder="1" applyAlignment="1">
      <alignment wrapText="1"/>
    </xf>
    <xf numFmtId="0" fontId="33" fillId="2" borderId="53" xfId="0" applyFont="1" applyFill="1" applyBorder="1" applyAlignment="1">
      <alignment horizontal="center" wrapText="1"/>
    </xf>
    <xf numFmtId="0" fontId="33" fillId="2" borderId="50" xfId="0" applyFont="1" applyFill="1" applyBorder="1" applyAlignment="1">
      <alignment horizontal="center" wrapText="1"/>
    </xf>
    <xf numFmtId="0" fontId="41" fillId="7" borderId="48" xfId="0" applyFont="1" applyFill="1" applyBorder="1" applyAlignment="1">
      <alignment horizontal="left"/>
    </xf>
    <xf numFmtId="0" fontId="17" fillId="7" borderId="0" xfId="0" applyFont="1" applyFill="1"/>
    <xf numFmtId="0" fontId="17" fillId="7" borderId="45" xfId="0" applyFont="1" applyFill="1" applyBorder="1"/>
    <xf numFmtId="0" fontId="41" fillId="0" borderId="48" xfId="0" applyFont="1" applyBorder="1" applyAlignment="1">
      <alignment horizontal="left" indent="1"/>
    </xf>
    <xf numFmtId="0" fontId="41" fillId="0" borderId="0" xfId="0" applyFont="1" applyAlignment="1">
      <alignment horizontal="center"/>
    </xf>
    <xf numFmtId="0" fontId="17" fillId="0" borderId="45" xfId="0" applyFont="1" applyBorder="1" applyAlignment="1">
      <alignment horizontal="center"/>
    </xf>
    <xf numFmtId="9" fontId="17" fillId="0" borderId="48" xfId="0" applyNumberFormat="1" applyFont="1" applyBorder="1" applyAlignment="1">
      <alignment horizontal="left" indent="1"/>
    </xf>
    <xf numFmtId="0" fontId="17" fillId="0" borderId="0" xfId="0" applyFont="1" applyAlignment="1">
      <alignment horizontal="center"/>
    </xf>
    <xf numFmtId="0" fontId="41" fillId="7" borderId="48" xfId="0" applyFont="1" applyFill="1" applyBorder="1"/>
    <xf numFmtId="0" fontId="17" fillId="7" borderId="45" xfId="0" applyFont="1" applyFill="1" applyBorder="1" applyAlignment="1">
      <alignment horizontal="center"/>
    </xf>
    <xf numFmtId="0" fontId="17" fillId="0" borderId="48" xfId="0" applyFont="1" applyBorder="1" applyAlignment="1">
      <alignment horizontal="left" indent="1"/>
    </xf>
    <xf numFmtId="5" fontId="17" fillId="0" borderId="0" xfId="0" applyNumberFormat="1" applyFont="1"/>
    <xf numFmtId="165" fontId="17" fillId="0" borderId="45" xfId="0" applyNumberFormat="1" applyFont="1" applyBorder="1" applyAlignment="1">
      <alignment horizontal="right"/>
    </xf>
    <xf numFmtId="0" fontId="17" fillId="0" borderId="54" xfId="0" applyFont="1" applyBorder="1" applyAlignment="1">
      <alignment horizontal="left" indent="1"/>
    </xf>
    <xf numFmtId="5" fontId="17" fillId="0" borderId="16" xfId="0" applyNumberFormat="1" applyFont="1" applyBorder="1"/>
    <xf numFmtId="165" fontId="17" fillId="0" borderId="55" xfId="0" applyNumberFormat="1" applyFont="1" applyBorder="1" applyAlignment="1">
      <alignment horizontal="right"/>
    </xf>
    <xf numFmtId="0" fontId="17" fillId="0" borderId="93" xfId="0" applyFont="1" applyBorder="1" applyAlignment="1">
      <alignment horizontal="left" indent="1"/>
    </xf>
    <xf numFmtId="5" fontId="17" fillId="0" borderId="94" xfId="0" applyNumberFormat="1" applyFont="1" applyBorder="1"/>
    <xf numFmtId="165" fontId="17" fillId="0" borderId="95" xfId="0" applyNumberFormat="1" applyFont="1" applyBorder="1" applyAlignment="1">
      <alignment horizontal="right"/>
    </xf>
    <xf numFmtId="165" fontId="41" fillId="0" borderId="89" xfId="0" applyNumberFormat="1" applyFont="1" applyBorder="1" applyAlignment="1">
      <alignment horizontal="right"/>
    </xf>
    <xf numFmtId="0" fontId="17" fillId="0" borderId="56" xfId="0" applyFont="1" applyBorder="1"/>
    <xf numFmtId="0" fontId="17" fillId="0" borderId="57" xfId="0" applyFont="1" applyBorder="1"/>
    <xf numFmtId="0" fontId="0" fillId="0" borderId="0" xfId="3" applyNumberFormat="1" applyFont="1"/>
    <xf numFmtId="0" fontId="58" fillId="0" borderId="0" xfId="3" applyNumberFormat="1" applyFont="1"/>
    <xf numFmtId="9" fontId="58" fillId="0" borderId="0" xfId="3" applyNumberFormat="1" applyFont="1"/>
    <xf numFmtId="9" fontId="0" fillId="0" borderId="0" xfId="3" applyNumberFormat="1" applyFont="1"/>
    <xf numFmtId="9" fontId="58" fillId="0" borderId="0" xfId="3" applyNumberFormat="1" applyFont="1" applyAlignment="1">
      <alignment wrapText="1"/>
    </xf>
    <xf numFmtId="172" fontId="0" fillId="0" borderId="0" xfId="0" applyNumberFormat="1"/>
    <xf numFmtId="6" fontId="58" fillId="0" borderId="0" xfId="0" applyNumberFormat="1" applyFont="1"/>
    <xf numFmtId="44" fontId="1" fillId="0" borderId="0" xfId="3" applyFont="1"/>
    <xf numFmtId="164" fontId="0" fillId="0" borderId="0" xfId="3" applyNumberFormat="1" applyFont="1" applyAlignment="1"/>
    <xf numFmtId="164" fontId="1" fillId="0" borderId="0" xfId="0" applyNumberFormat="1" applyFont="1"/>
    <xf numFmtId="43" fontId="72" fillId="0" borderId="0" xfId="2" applyFont="1" applyBorder="1"/>
    <xf numFmtId="43" fontId="72" fillId="0" borderId="6" xfId="2" applyFont="1" applyBorder="1"/>
    <xf numFmtId="43" fontId="72" fillId="0" borderId="11" xfId="2" applyFont="1" applyBorder="1"/>
    <xf numFmtId="0" fontId="72" fillId="0" borderId="4" xfId="0" applyFont="1" applyBorder="1"/>
    <xf numFmtId="0" fontId="72" fillId="0" borderId="12" xfId="0" applyFont="1" applyBorder="1"/>
    <xf numFmtId="0" fontId="54" fillId="8" borderId="0" xfId="0" applyFont="1" applyFill="1" applyAlignment="1">
      <alignment horizontal="center" vertical="center"/>
    </xf>
    <xf numFmtId="0" fontId="58" fillId="0" borderId="0" xfId="0" applyFont="1" applyAlignment="1">
      <alignment horizontal="center" vertical="center"/>
    </xf>
    <xf numFmtId="0" fontId="58" fillId="0" borderId="0" xfId="3" applyNumberFormat="1" applyFont="1" applyAlignment="1">
      <alignment horizontal="center" vertical="center"/>
    </xf>
    <xf numFmtId="0" fontId="0" fillId="0" borderId="0" xfId="3" applyNumberFormat="1" applyFont="1" applyAlignment="1">
      <alignment horizontal="center" vertical="center"/>
    </xf>
    <xf numFmtId="164" fontId="86" fillId="0" borderId="90" xfId="3" applyNumberFormat="1" applyFont="1" applyBorder="1" applyAlignment="1" applyProtection="1">
      <alignment horizontal="center"/>
      <protection locked="0"/>
    </xf>
    <xf numFmtId="1" fontId="86" fillId="0" borderId="51" xfId="1" applyNumberFormat="1" applyFont="1" applyBorder="1" applyAlignment="1" applyProtection="1">
      <alignment horizontal="center"/>
      <protection locked="0"/>
    </xf>
    <xf numFmtId="1" fontId="86" fillId="0" borderId="91" xfId="1" applyNumberFormat="1" applyFont="1" applyBorder="1" applyAlignment="1" applyProtection="1">
      <alignment horizontal="center"/>
      <protection locked="0"/>
    </xf>
    <xf numFmtId="1" fontId="86" fillId="0" borderId="92" xfId="1" applyNumberFormat="1" applyFont="1" applyBorder="1" applyAlignment="1" applyProtection="1">
      <alignment horizontal="center"/>
      <protection locked="0"/>
    </xf>
    <xf numFmtId="0" fontId="4" fillId="17" borderId="0" xfId="0" applyFont="1" applyFill="1" applyAlignment="1">
      <alignment horizontal="left" wrapText="1"/>
    </xf>
    <xf numFmtId="0" fontId="4" fillId="17" borderId="6" xfId="0" applyFont="1" applyFill="1" applyBorder="1" applyAlignment="1">
      <alignment horizontal="left" wrapText="1"/>
    </xf>
    <xf numFmtId="0" fontId="14" fillId="0" borderId="9" xfId="0" applyFont="1" applyBorder="1" applyAlignment="1">
      <alignment horizontal="left" wrapText="1"/>
    </xf>
    <xf numFmtId="0" fontId="14" fillId="0" borderId="0" xfId="0" applyFont="1" applyAlignment="1">
      <alignment horizontal="left" wrapText="1"/>
    </xf>
    <xf numFmtId="0" fontId="14" fillId="0" borderId="6" xfId="0" applyFont="1" applyBorder="1" applyAlignment="1">
      <alignment horizontal="left" wrapText="1"/>
    </xf>
    <xf numFmtId="0" fontId="4" fillId="0" borderId="9" xfId="0" applyFont="1" applyBorder="1" applyAlignment="1">
      <alignment horizontal="left" wrapText="1"/>
    </xf>
    <xf numFmtId="0" fontId="4" fillId="0" borderId="0" xfId="0" applyFont="1" applyAlignment="1">
      <alignment horizontal="left" wrapText="1"/>
    </xf>
    <xf numFmtId="0" fontId="4" fillId="0" borderId="6" xfId="0" applyFont="1" applyBorder="1" applyAlignment="1">
      <alignment horizontal="left" wrapText="1"/>
    </xf>
    <xf numFmtId="0" fontId="4" fillId="0" borderId="9" xfId="0" applyFont="1" applyBorder="1" applyAlignment="1">
      <alignment horizontal="left"/>
    </xf>
    <xf numFmtId="0" fontId="4" fillId="0" borderId="0" xfId="0" applyFont="1" applyAlignment="1">
      <alignment horizontal="left"/>
    </xf>
    <xf numFmtId="0" fontId="4" fillId="0" borderId="6" xfId="0" applyFont="1" applyBorder="1" applyAlignment="1">
      <alignment horizontal="left"/>
    </xf>
    <xf numFmtId="0" fontId="14" fillId="0" borderId="0" xfId="0" quotePrefix="1" applyFont="1" applyAlignment="1">
      <alignment horizontal="left" wrapText="1"/>
    </xf>
    <xf numFmtId="0" fontId="14" fillId="0" borderId="6" xfId="0" quotePrefix="1" applyFont="1" applyBorder="1" applyAlignment="1">
      <alignment horizontal="left" wrapText="1"/>
    </xf>
    <xf numFmtId="0" fontId="14" fillId="0" borderId="9" xfId="0" quotePrefix="1" applyFont="1" applyBorder="1" applyAlignment="1">
      <alignment horizontal="left" wrapText="1"/>
    </xf>
    <xf numFmtId="0" fontId="9" fillId="0" borderId="9" xfId="0" applyFont="1" applyBorder="1" applyAlignment="1">
      <alignment horizontal="left" wrapText="1"/>
    </xf>
    <xf numFmtId="0" fontId="9" fillId="0" borderId="0" xfId="0" applyFont="1" applyAlignment="1">
      <alignment horizontal="left" wrapText="1"/>
    </xf>
    <xf numFmtId="0" fontId="9" fillId="0" borderId="6" xfId="0" applyFont="1" applyBorder="1" applyAlignment="1">
      <alignment horizontal="left" wrapText="1"/>
    </xf>
    <xf numFmtId="0" fontId="70" fillId="0" borderId="9" xfId="0" applyFont="1" applyBorder="1" applyAlignment="1">
      <alignment horizontal="left" wrapText="1"/>
    </xf>
    <xf numFmtId="0" fontId="70" fillId="0" borderId="0" xfId="0" applyFont="1" applyAlignment="1">
      <alignment horizontal="left" wrapText="1"/>
    </xf>
    <xf numFmtId="0" fontId="70" fillId="0" borderId="6" xfId="0" applyFont="1" applyBorder="1" applyAlignment="1">
      <alignment horizontal="left" wrapText="1"/>
    </xf>
    <xf numFmtId="0" fontId="71" fillId="0" borderId="8" xfId="0" applyFont="1" applyBorder="1" applyAlignment="1">
      <alignment horizontal="center" vertical="center" wrapText="1"/>
    </xf>
    <xf numFmtId="0" fontId="71" fillId="0" borderId="15" xfId="0" applyFont="1" applyBorder="1" applyAlignment="1">
      <alignment horizontal="center" vertical="center" wrapText="1"/>
    </xf>
    <xf numFmtId="0" fontId="71" fillId="0" borderId="12" xfId="0" applyFont="1" applyBorder="1" applyAlignment="1">
      <alignment horizontal="center" vertical="center" wrapText="1"/>
    </xf>
    <xf numFmtId="0" fontId="71" fillId="0" borderId="10" xfId="0" applyFont="1" applyBorder="1" applyAlignment="1">
      <alignment horizontal="center" wrapText="1"/>
    </xf>
    <xf numFmtId="0" fontId="71" fillId="0" borderId="5" xfId="0" applyFont="1" applyBorder="1" applyAlignment="1">
      <alignment horizontal="center" wrapText="1"/>
    </xf>
    <xf numFmtId="0" fontId="73" fillId="0" borderId="0" xfId="0" applyFont="1" applyAlignment="1">
      <alignment horizontal="center"/>
    </xf>
    <xf numFmtId="0" fontId="73" fillId="0" borderId="6" xfId="0" applyFont="1" applyBorder="1" applyAlignment="1">
      <alignment horizontal="center"/>
    </xf>
    <xf numFmtId="0" fontId="80" fillId="0" borderId="0" xfId="0" applyFont="1" applyAlignment="1">
      <alignment horizontal="center"/>
    </xf>
    <xf numFmtId="0" fontId="71" fillId="0" borderId="8" xfId="0" applyFont="1" applyBorder="1" applyAlignment="1">
      <alignment horizontal="center"/>
    </xf>
    <xf numFmtId="0" fontId="71" fillId="0" borderId="15" xfId="0" applyFont="1" applyBorder="1" applyAlignment="1">
      <alignment horizontal="center"/>
    </xf>
    <xf numFmtId="0" fontId="71" fillId="0" borderId="12" xfId="0" applyFont="1" applyBorder="1" applyAlignment="1">
      <alignment horizontal="center"/>
    </xf>
    <xf numFmtId="0" fontId="71" fillId="0" borderId="10" xfId="0" applyFont="1" applyBorder="1" applyAlignment="1">
      <alignment horizontal="center"/>
    </xf>
    <xf numFmtId="0" fontId="71" fillId="0" borderId="17" xfId="0" applyFont="1" applyBorder="1" applyAlignment="1">
      <alignment horizontal="center"/>
    </xf>
    <xf numFmtId="0" fontId="71" fillId="0" borderId="5" xfId="0" applyFont="1" applyBorder="1" applyAlignment="1">
      <alignment horizontal="center"/>
    </xf>
  </cellXfs>
  <cellStyles count="10">
    <cellStyle name="Comma" xfId="2" builtinId="3"/>
    <cellStyle name="Currency" xfId="3" builtinId="4"/>
    <cellStyle name="Header" xfId="9" xr:uid="{B3760F6C-4F75-4CC3-B70B-3C64E8FB2A1E}"/>
    <cellStyle name="Hyperlink" xfId="8" builtinId="8"/>
    <cellStyle name="Input2" xfId="6" xr:uid="{E665902A-C06D-4E79-B43D-AD164B61A021}"/>
    <cellStyle name="Manual Input" xfId="1" xr:uid="{6E66C672-DCE2-49DC-A5C3-DCE1F352CAA9}"/>
    <cellStyle name="Normal" xfId="0" builtinId="0"/>
    <cellStyle name="Normal 2" xfId="7" xr:uid="{386BEB2E-8233-4E38-A191-DF6040F3EA77}"/>
    <cellStyle name="Percent" xfId="4" builtinId="5"/>
    <cellStyle name="Scenario Input" xfId="5" xr:uid="{DE2EF9FB-D8C2-42A3-AA21-6B78E22836F4}"/>
  </cellStyles>
  <dxfs count="59">
    <dxf>
      <font>
        <color rgb="FFC00000"/>
      </font>
      <fill>
        <patternFill patternType="none">
          <bgColor auto="1"/>
        </patternFill>
      </fill>
    </dxf>
    <dxf>
      <font>
        <color theme="9"/>
      </font>
      <fill>
        <patternFill patternType="none">
          <bgColor auto="1"/>
        </patternFill>
      </fill>
    </dxf>
    <dxf>
      <font>
        <color rgb="FF0070C0"/>
      </font>
      <fill>
        <patternFill>
          <bgColor rgb="FFFFFFCC"/>
        </patternFill>
      </fill>
    </dxf>
    <dxf>
      <font>
        <color theme="1"/>
      </font>
      <fill>
        <patternFill>
          <bgColor rgb="FFFFFFCC"/>
        </patternFill>
      </fill>
    </dxf>
    <dxf>
      <font>
        <color theme="9"/>
      </font>
    </dxf>
    <dxf>
      <font>
        <color rgb="FFC00000"/>
      </font>
    </dxf>
    <dxf>
      <font>
        <color rgb="FFC00000"/>
      </font>
    </dxf>
    <dxf>
      <font>
        <color theme="9"/>
      </font>
    </dxf>
    <dxf>
      <font>
        <color rgb="FFC00000"/>
      </font>
    </dxf>
    <dxf>
      <font>
        <color theme="9"/>
      </font>
    </dxf>
    <dxf>
      <font>
        <color theme="9"/>
      </font>
    </dxf>
    <dxf>
      <font>
        <color rgb="FFC00000"/>
      </font>
    </dxf>
    <dxf>
      <font>
        <color rgb="FFC00000"/>
      </font>
      <fill>
        <patternFill patternType="none">
          <bgColor auto="1"/>
        </patternFill>
      </fill>
    </dxf>
    <dxf>
      <font>
        <color theme="9"/>
      </font>
      <fill>
        <patternFill patternType="none">
          <bgColor auto="1"/>
        </patternFill>
      </fill>
    </dxf>
    <dxf>
      <font>
        <color rgb="FF0070C0"/>
      </font>
      <fill>
        <patternFill>
          <bgColor rgb="FFFFFFCC"/>
        </patternFill>
      </fill>
    </dxf>
    <dxf>
      <font>
        <color theme="1"/>
      </font>
      <fill>
        <patternFill>
          <bgColor rgb="FFFFFFCC"/>
        </patternFill>
      </fill>
    </dxf>
    <dxf>
      <font>
        <color theme="9"/>
      </font>
    </dxf>
    <dxf>
      <font>
        <color rgb="FFC00000"/>
      </font>
    </dxf>
    <dxf>
      <font>
        <color rgb="FFC00000"/>
      </font>
    </dxf>
    <dxf>
      <font>
        <color theme="9"/>
      </font>
    </dxf>
    <dxf>
      <font>
        <color rgb="FFC00000"/>
      </font>
    </dxf>
    <dxf>
      <font>
        <color theme="9"/>
      </font>
    </dxf>
    <dxf>
      <font>
        <color theme="9"/>
      </font>
    </dxf>
    <dxf>
      <font>
        <color rgb="FFC00000"/>
      </font>
    </dxf>
    <dxf>
      <font>
        <color rgb="FFFF0000"/>
      </font>
      <fill>
        <patternFill patternType="none">
          <bgColor auto="1"/>
        </patternFill>
      </fill>
    </dxf>
    <dxf>
      <font>
        <color theme="9" tint="-0.24994659260841701"/>
      </font>
      <fill>
        <patternFill patternType="none">
          <bgColor auto="1"/>
        </patternFill>
      </fill>
    </dxf>
    <dxf>
      <font>
        <color rgb="FF006100"/>
      </font>
      <fill>
        <patternFill>
          <bgColor rgb="FFC6EFCE"/>
        </patternFill>
      </fill>
    </dxf>
    <dxf>
      <font>
        <color rgb="FFC00000"/>
      </font>
      <fill>
        <patternFill>
          <bgColor theme="5" tint="0.79998168889431442"/>
        </patternFill>
      </fill>
    </dxf>
    <dxf>
      <font>
        <color rgb="FFC00000"/>
      </font>
      <fill>
        <patternFill patternType="none">
          <bgColor auto="1"/>
        </patternFill>
      </fill>
    </dxf>
    <dxf>
      <font>
        <color rgb="FF00B050"/>
      </font>
      <fill>
        <patternFill patternType="none">
          <bgColor auto="1"/>
        </patternFill>
      </fill>
    </dxf>
    <dxf>
      <font>
        <color rgb="FFC00000"/>
      </font>
      <fill>
        <patternFill patternType="none">
          <bgColor auto="1"/>
        </patternFill>
      </fill>
    </dxf>
    <dxf>
      <font>
        <color rgb="FF00B050"/>
      </font>
      <fill>
        <patternFill patternType="none">
          <bgColor auto="1"/>
        </patternFill>
      </fill>
    </dxf>
    <dxf>
      <font>
        <color theme="9"/>
      </font>
    </dxf>
    <dxf>
      <font>
        <color rgb="FF9C0006"/>
      </font>
    </dxf>
    <dxf>
      <font>
        <color rgb="FF0070C0"/>
      </font>
      <fill>
        <patternFill>
          <bgColor rgb="FFFFFFCC"/>
        </patternFill>
      </fill>
    </dxf>
    <dxf>
      <font>
        <color theme="1"/>
      </font>
      <fill>
        <patternFill>
          <bgColor rgb="FFFFFFCC"/>
        </patternFill>
      </fill>
    </dxf>
    <dxf>
      <font>
        <color theme="9"/>
      </font>
    </dxf>
    <dxf>
      <font>
        <color rgb="FFC00000"/>
      </font>
    </dxf>
    <dxf>
      <font>
        <color rgb="FFC00000"/>
      </font>
    </dxf>
    <dxf>
      <font>
        <color theme="9"/>
      </font>
    </dxf>
    <dxf>
      <font>
        <color theme="9"/>
      </font>
    </dxf>
    <dxf>
      <font>
        <color rgb="FFC00000"/>
      </font>
    </dxf>
    <dxf>
      <font>
        <color rgb="FFFF0000"/>
      </font>
      <fill>
        <patternFill patternType="none">
          <bgColor auto="1"/>
        </patternFill>
      </fill>
    </dxf>
    <dxf>
      <font>
        <color theme="9" tint="-0.24994659260841701"/>
      </font>
      <fill>
        <patternFill patternType="none">
          <bgColor auto="1"/>
        </patternFill>
      </fill>
    </dxf>
    <dxf>
      <font>
        <color rgb="FF006100"/>
      </font>
      <fill>
        <patternFill>
          <bgColor rgb="FFC6EFCE"/>
        </patternFill>
      </fill>
    </dxf>
    <dxf>
      <font>
        <color rgb="FFC00000"/>
      </font>
      <fill>
        <patternFill>
          <bgColor theme="5" tint="0.79998168889431442"/>
        </patternFill>
      </fill>
    </dxf>
    <dxf>
      <font>
        <color rgb="FFC00000"/>
      </font>
      <fill>
        <patternFill patternType="none">
          <bgColor auto="1"/>
        </patternFill>
      </fill>
    </dxf>
    <dxf>
      <font>
        <color rgb="FF00B050"/>
      </font>
      <fill>
        <patternFill patternType="none">
          <bgColor auto="1"/>
        </patternFill>
      </fill>
    </dxf>
    <dxf>
      <font>
        <color rgb="FFC00000"/>
      </font>
      <fill>
        <patternFill patternType="none">
          <bgColor auto="1"/>
        </patternFill>
      </fill>
    </dxf>
    <dxf>
      <font>
        <color rgb="FF00B050"/>
      </font>
      <fill>
        <patternFill patternType="none">
          <bgColor auto="1"/>
        </patternFill>
      </fill>
    </dxf>
    <dxf>
      <font>
        <color rgb="FF0070C0"/>
      </font>
      <fill>
        <patternFill>
          <bgColor rgb="FFFFFFCC"/>
        </patternFill>
      </fill>
    </dxf>
    <dxf>
      <font>
        <color theme="1"/>
      </font>
      <fill>
        <patternFill>
          <bgColor rgb="FFFFFFCC"/>
        </patternFill>
      </fill>
    </dxf>
    <dxf>
      <font>
        <color theme="9"/>
      </font>
    </dxf>
    <dxf>
      <font>
        <color rgb="FFC00000"/>
      </font>
    </dxf>
    <dxf>
      <font>
        <color rgb="FFC00000"/>
      </font>
    </dxf>
    <dxf>
      <font>
        <color theme="9"/>
      </font>
    </dxf>
    <dxf>
      <font>
        <color theme="9"/>
      </font>
    </dxf>
    <dxf>
      <font>
        <color rgb="FFC00000"/>
      </font>
    </dxf>
    <dxf>
      <font>
        <color rgb="FF9C0006"/>
      </font>
      <fill>
        <patternFill>
          <bgColor rgb="FFFFC7CE"/>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powerPivotData" Target="model/item.data"/><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'Fund Summary'!$A$29</c:f>
              <c:strCache>
                <c:ptCount val="1"/>
                <c:pt idx="0">
                  <c:v>Subsidy Per Unit</c:v>
                </c:pt>
              </c:strCache>
            </c:strRef>
          </c:tx>
          <c:spPr>
            <a:solidFill>
              <a:schemeClr val="accent1"/>
            </a:solidFill>
            <a:ln>
              <a:noFill/>
            </a:ln>
            <a:effectLst/>
          </c:spPr>
          <c:invertIfNegative val="0"/>
          <c:cat>
            <c:strRef>
              <c:f>'Fund Summary'!$B$10:$E$10</c:f>
              <c:strCache>
                <c:ptCount val="4"/>
                <c:pt idx="0">
                  <c:v>Multifamily Rental</c:v>
                </c:pt>
                <c:pt idx="1">
                  <c:v>Limited Equity Cooperative</c:v>
                </c:pt>
                <c:pt idx="2">
                  <c:v>Multifamily Shared Equity HO (ie condos)</c:v>
                </c:pt>
                <c:pt idx="3">
                  <c:v>Single Family Shared Equity HO</c:v>
                </c:pt>
              </c:strCache>
            </c:strRef>
          </c:cat>
          <c:val>
            <c:numRef>
              <c:f>'Fund Summary'!$B$29:$E$29</c:f>
              <c:numCache>
                <c:formatCode>"$"#,##0_);\("$"#,##0\)</c:formatCode>
                <c:ptCount val="4"/>
                <c:pt idx="0">
                  <c:v>499999.99999999994</c:v>
                </c:pt>
                <c:pt idx="1">
                  <c:v>499999.99999999994</c:v>
                </c:pt>
                <c:pt idx="2">
                  <c:v>250000</c:v>
                </c:pt>
                <c:pt idx="3">
                  <c:v>150000</c:v>
                </c:pt>
              </c:numCache>
            </c:numRef>
          </c:val>
          <c:extLst>
            <c:ext xmlns:c16="http://schemas.microsoft.com/office/drawing/2014/chart" uri="{C3380CC4-5D6E-409C-BE32-E72D297353CC}">
              <c16:uniqueId val="{00000000-0AAF-4213-AA55-DB3DE5E61272}"/>
            </c:ext>
          </c:extLst>
        </c:ser>
        <c:ser>
          <c:idx val="1"/>
          <c:order val="1"/>
          <c:tx>
            <c:strRef>
              <c:f>'Fund Summary'!$A$21</c:f>
              <c:strCache>
                <c:ptCount val="1"/>
                <c:pt idx="0">
                  <c:v>TDC per Unit</c:v>
                </c:pt>
              </c:strCache>
            </c:strRef>
          </c:tx>
          <c:spPr>
            <a:solidFill>
              <a:schemeClr val="accent2"/>
            </a:solidFill>
            <a:ln>
              <a:noFill/>
            </a:ln>
            <a:effectLst/>
          </c:spPr>
          <c:invertIfNegative val="0"/>
          <c:cat>
            <c:strRef>
              <c:f>'Fund Summary'!$B$10:$E$10</c:f>
              <c:strCache>
                <c:ptCount val="4"/>
                <c:pt idx="0">
                  <c:v>Multifamily Rental</c:v>
                </c:pt>
                <c:pt idx="1">
                  <c:v>Limited Equity Cooperative</c:v>
                </c:pt>
                <c:pt idx="2">
                  <c:v>Multifamily Shared Equity HO (ie condos)</c:v>
                </c:pt>
                <c:pt idx="3">
                  <c:v>Single Family Shared Equity HO</c:v>
                </c:pt>
              </c:strCache>
            </c:strRef>
          </c:cat>
          <c:val>
            <c:numRef>
              <c:f>'Fund Summary'!$B$21:$E$21</c:f>
              <c:numCache>
                <c:formatCode>"$"#,##0_);\("$"#,##0\)</c:formatCode>
                <c:ptCount val="4"/>
                <c:pt idx="0">
                  <c:v>794434.24167500006</c:v>
                </c:pt>
                <c:pt idx="1">
                  <c:v>815180.94001875003</c:v>
                </c:pt>
                <c:pt idx="2">
                  <c:v>1058470.0007916668</c:v>
                </c:pt>
                <c:pt idx="3">
                  <c:v>775222.61712499999</c:v>
                </c:pt>
              </c:numCache>
            </c:numRef>
          </c:val>
          <c:extLst>
            <c:ext xmlns:c16="http://schemas.microsoft.com/office/drawing/2014/chart" uri="{C3380CC4-5D6E-409C-BE32-E72D297353CC}">
              <c16:uniqueId val="{00000001-0AAF-4213-AA55-DB3DE5E61272}"/>
            </c:ext>
          </c:extLst>
        </c:ser>
        <c:dLbls>
          <c:showLegendKey val="0"/>
          <c:showVal val="0"/>
          <c:showCatName val="0"/>
          <c:showSerName val="0"/>
          <c:showPercent val="0"/>
          <c:showBubbleSize val="0"/>
        </c:dLbls>
        <c:gapWidth val="219"/>
        <c:overlap val="-27"/>
        <c:axId val="459600640"/>
        <c:axId val="459592000"/>
        <c:extLst>
          <c:ext xmlns:c15="http://schemas.microsoft.com/office/drawing/2012/chart" uri="{02D57815-91ED-43cb-92C2-25804820EDAC}">
            <c15:filteredBarSeries>
              <c15:ser>
                <c:idx val="2"/>
                <c:order val="2"/>
                <c:tx>
                  <c:strRef>
                    <c:extLst>
                      <c:ext uri="{02D57815-91ED-43cb-92C2-25804820EDAC}">
                        <c15:formulaRef>
                          <c15:sqref>'Fund Summary'!$B$10</c15:sqref>
                        </c15:formulaRef>
                      </c:ext>
                    </c:extLst>
                    <c:strCache>
                      <c:ptCount val="1"/>
                      <c:pt idx="0">
                        <c:v>Multifamily Rental</c:v>
                      </c:pt>
                    </c:strCache>
                  </c:strRef>
                </c:tx>
                <c:spPr>
                  <a:solidFill>
                    <a:schemeClr val="accent3"/>
                  </a:solidFill>
                  <a:ln>
                    <a:noFill/>
                  </a:ln>
                  <a:effectLst/>
                </c:spPr>
                <c:invertIfNegative val="0"/>
                <c:cat>
                  <c:strRef>
                    <c:extLst>
                      <c:ext uri="{02D57815-91ED-43cb-92C2-25804820EDAC}">
                        <c15:formulaRef>
                          <c15:sqref>'Fund Summary'!$B$10:$E$10</c15:sqref>
                        </c15:formulaRef>
                      </c:ext>
                    </c:extLst>
                    <c:strCache>
                      <c:ptCount val="4"/>
                      <c:pt idx="0">
                        <c:v>Multifamily Rental</c:v>
                      </c:pt>
                      <c:pt idx="1">
                        <c:v>Limited Equity Cooperative</c:v>
                      </c:pt>
                      <c:pt idx="2">
                        <c:v>Multifamily Shared Equity HO (ie condos)</c:v>
                      </c:pt>
                      <c:pt idx="3">
                        <c:v>Single Family Shared Equity HO</c:v>
                      </c:pt>
                    </c:strCache>
                  </c:strRef>
                </c:cat>
                <c:val>
                  <c:numRef>
                    <c:extLst>
                      <c:ext uri="{02D57815-91ED-43cb-92C2-25804820EDAC}">
                        <c15:formulaRef>
                          <c15:sqref>'Fund Summary'!$C$10:$E$10</c15:sqref>
                        </c15:formulaRef>
                      </c:ext>
                    </c:extLst>
                    <c:numCache>
                      <c:formatCode>General</c:formatCode>
                      <c:ptCount val="3"/>
                      <c:pt idx="0">
                        <c:v>0</c:v>
                      </c:pt>
                      <c:pt idx="1">
                        <c:v>0</c:v>
                      </c:pt>
                      <c:pt idx="2">
                        <c:v>0</c:v>
                      </c:pt>
                    </c:numCache>
                  </c:numRef>
                </c:val>
                <c:extLst>
                  <c:ext xmlns:c16="http://schemas.microsoft.com/office/drawing/2014/chart" uri="{C3380CC4-5D6E-409C-BE32-E72D297353CC}">
                    <c16:uniqueId val="{00000002-0AAF-4213-AA55-DB3DE5E61272}"/>
                  </c:ext>
                </c:extLst>
              </c15:ser>
            </c15:filteredBarSeries>
          </c:ext>
        </c:extLst>
      </c:barChart>
      <c:catAx>
        <c:axId val="459600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9592000"/>
        <c:crosses val="autoZero"/>
        <c:auto val="1"/>
        <c:lblAlgn val="ctr"/>
        <c:lblOffset val="100"/>
        <c:noMultiLvlLbl val="0"/>
      </c:catAx>
      <c:valAx>
        <c:axId val="45959200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9600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Development and Operating Costs Per Unit</a:t>
            </a:r>
            <a:r>
              <a:rPr lang="en-US" b="1" baseline="0"/>
              <a:t> </a:t>
            </a:r>
            <a:r>
              <a:rPr lang="en-US" b="1"/>
              <a:t>by Submarket</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Visualizations!$D$2</c:f>
              <c:strCache>
                <c:ptCount val="1"/>
                <c:pt idx="0">
                  <c:v> Purchase</c:v>
                </c:pt>
              </c:strCache>
            </c:strRef>
          </c:tx>
          <c:spPr>
            <a:solidFill>
              <a:schemeClr val="accent1"/>
            </a:solidFill>
            <a:ln>
              <a:noFill/>
            </a:ln>
            <a:effectLst/>
          </c:spPr>
          <c:invertIfNegative val="0"/>
          <c:cat>
            <c:strRef>
              <c:f>Visualizations!$C$3:$C$7</c:f>
              <c:strCache>
                <c:ptCount val="5"/>
                <c:pt idx="0">
                  <c:v>Moderate Cost Suburban</c:v>
                </c:pt>
                <c:pt idx="1">
                  <c:v>Urban SoCal</c:v>
                </c:pt>
                <c:pt idx="2">
                  <c:v>Lower Cost Interior</c:v>
                </c:pt>
                <c:pt idx="3">
                  <c:v>Bay Area</c:v>
                </c:pt>
                <c:pt idx="4">
                  <c:v>California Total</c:v>
                </c:pt>
              </c:strCache>
            </c:strRef>
          </c:cat>
          <c:val>
            <c:numRef>
              <c:f>Visualizations!$D$3:$D$7</c:f>
              <c:numCache>
                <c:formatCode>_("$"* #,##0_);_("$"* \(#,##0\);_("$"* "-"??_);_(@_)</c:formatCode>
                <c:ptCount val="5"/>
                <c:pt idx="0">
                  <c:v>243151.59539473683</c:v>
                </c:pt>
                <c:pt idx="1">
                  <c:v>233750</c:v>
                </c:pt>
                <c:pt idx="2">
                  <c:v>115125</c:v>
                </c:pt>
                <c:pt idx="3">
                  <c:v>215033.33333333331</c:v>
                </c:pt>
                <c:pt idx="4">
                  <c:v>204474.39802631579</c:v>
                </c:pt>
              </c:numCache>
            </c:numRef>
          </c:val>
          <c:extLst>
            <c:ext xmlns:c16="http://schemas.microsoft.com/office/drawing/2014/chart" uri="{C3380CC4-5D6E-409C-BE32-E72D297353CC}">
              <c16:uniqueId val="{00000000-57B3-4711-BEA0-47881BE85C1B}"/>
            </c:ext>
          </c:extLst>
        </c:ser>
        <c:ser>
          <c:idx val="1"/>
          <c:order val="1"/>
          <c:tx>
            <c:strRef>
              <c:f>Visualizations!$E$2</c:f>
              <c:strCache>
                <c:ptCount val="1"/>
                <c:pt idx="0">
                  <c:v>Soft Costs</c:v>
                </c:pt>
              </c:strCache>
            </c:strRef>
          </c:tx>
          <c:spPr>
            <a:solidFill>
              <a:schemeClr val="accent2"/>
            </a:solidFill>
            <a:ln>
              <a:noFill/>
            </a:ln>
            <a:effectLst/>
          </c:spPr>
          <c:invertIfNegative val="0"/>
          <c:cat>
            <c:strRef>
              <c:f>Visualizations!$C$3:$C$7</c:f>
              <c:strCache>
                <c:ptCount val="5"/>
                <c:pt idx="0">
                  <c:v>Moderate Cost Suburban</c:v>
                </c:pt>
                <c:pt idx="1">
                  <c:v>Urban SoCal</c:v>
                </c:pt>
                <c:pt idx="2">
                  <c:v>Lower Cost Interior</c:v>
                </c:pt>
                <c:pt idx="3">
                  <c:v>Bay Area</c:v>
                </c:pt>
                <c:pt idx="4">
                  <c:v>California Total</c:v>
                </c:pt>
              </c:strCache>
            </c:strRef>
          </c:cat>
          <c:val>
            <c:numRef>
              <c:f>Visualizations!$E$3:$E$7</c:f>
              <c:numCache>
                <c:formatCode>_("$"* #,##0_);_("$"* \(#,##0\);_("$"* "-"??_);_(@_)</c:formatCode>
                <c:ptCount val="5"/>
                <c:pt idx="0">
                  <c:v>34121.348684210527</c:v>
                </c:pt>
                <c:pt idx="1">
                  <c:v>43692.084000000003</c:v>
                </c:pt>
                <c:pt idx="2">
                  <c:v>57506.516304347824</c:v>
                </c:pt>
                <c:pt idx="3">
                  <c:v>69691.269230769234</c:v>
                </c:pt>
                <c:pt idx="4">
                  <c:v>48120.743999999999</c:v>
                </c:pt>
              </c:numCache>
            </c:numRef>
          </c:val>
          <c:extLst>
            <c:ext xmlns:c16="http://schemas.microsoft.com/office/drawing/2014/chart" uri="{C3380CC4-5D6E-409C-BE32-E72D297353CC}">
              <c16:uniqueId val="{00000001-57B3-4711-BEA0-47881BE85C1B}"/>
            </c:ext>
          </c:extLst>
        </c:ser>
        <c:ser>
          <c:idx val="2"/>
          <c:order val="2"/>
          <c:tx>
            <c:strRef>
              <c:f>Visualizations!$F$2</c:f>
              <c:strCache>
                <c:ptCount val="1"/>
                <c:pt idx="0">
                  <c:v>Hard Costs</c:v>
                </c:pt>
              </c:strCache>
            </c:strRef>
          </c:tx>
          <c:spPr>
            <a:solidFill>
              <a:schemeClr val="accent3"/>
            </a:solidFill>
            <a:ln>
              <a:noFill/>
            </a:ln>
            <a:effectLst/>
          </c:spPr>
          <c:invertIfNegative val="0"/>
          <c:cat>
            <c:strRef>
              <c:f>Visualizations!$C$3:$C$7</c:f>
              <c:strCache>
                <c:ptCount val="5"/>
                <c:pt idx="0">
                  <c:v>Moderate Cost Suburban</c:v>
                </c:pt>
                <c:pt idx="1">
                  <c:v>Urban SoCal</c:v>
                </c:pt>
                <c:pt idx="2">
                  <c:v>Lower Cost Interior</c:v>
                </c:pt>
                <c:pt idx="3">
                  <c:v>Bay Area</c:v>
                </c:pt>
                <c:pt idx="4">
                  <c:v>California Total</c:v>
                </c:pt>
              </c:strCache>
            </c:strRef>
          </c:cat>
          <c:val>
            <c:numRef>
              <c:f>Visualizations!$F$3:$F$7</c:f>
              <c:numCache>
                <c:formatCode>_("$"* #,##0_);_("$"* \(#,##0\);_("$"* "-"??_);_(@_)</c:formatCode>
                <c:ptCount val="5"/>
                <c:pt idx="0">
                  <c:v>44382.6875</c:v>
                </c:pt>
                <c:pt idx="1">
                  <c:v>57535.462499999994</c:v>
                </c:pt>
                <c:pt idx="2">
                  <c:v>87400.75</c:v>
                </c:pt>
                <c:pt idx="3">
                  <c:v>156229.47575757577</c:v>
                </c:pt>
                <c:pt idx="4">
                  <c:v>87157.916666666657</c:v>
                </c:pt>
              </c:numCache>
            </c:numRef>
          </c:val>
          <c:extLst>
            <c:ext xmlns:c16="http://schemas.microsoft.com/office/drawing/2014/chart" uri="{C3380CC4-5D6E-409C-BE32-E72D297353CC}">
              <c16:uniqueId val="{00000002-57B3-4711-BEA0-47881BE85C1B}"/>
            </c:ext>
          </c:extLst>
        </c:ser>
        <c:dLbls>
          <c:showLegendKey val="0"/>
          <c:showVal val="0"/>
          <c:showCatName val="0"/>
          <c:showSerName val="0"/>
          <c:showPercent val="0"/>
          <c:showBubbleSize val="0"/>
        </c:dLbls>
        <c:gapWidth val="219"/>
        <c:overlap val="100"/>
        <c:axId val="562970848"/>
        <c:axId val="562973248"/>
      </c:barChart>
      <c:scatterChart>
        <c:scatterStyle val="lineMarker"/>
        <c:varyColors val="0"/>
        <c:ser>
          <c:idx val="3"/>
          <c:order val="3"/>
          <c:tx>
            <c:strRef>
              <c:f>Visualizations!$G$2</c:f>
              <c:strCache>
                <c:ptCount val="1"/>
                <c:pt idx="0">
                  <c:v>Operating Costs</c:v>
                </c:pt>
              </c:strCache>
            </c:strRef>
          </c:tx>
          <c:spPr>
            <a:ln w="6350" cap="flat" cmpd="sng" algn="ctr">
              <a:noFill/>
              <a:prstDash val="solid"/>
              <a:miter lim="800000"/>
            </a:ln>
            <a:effectLst/>
          </c:spPr>
          <c:marker>
            <c:symbol val="circle"/>
            <c:size val="5"/>
            <c:spPr>
              <a:solidFill>
                <a:schemeClr val="bg1"/>
              </a:solidFill>
              <a:ln w="6350" cap="flat" cmpd="sng" algn="ctr">
                <a:solidFill>
                  <a:schemeClr val="dk1"/>
                </a:solidFill>
                <a:prstDash val="solid"/>
                <a:miter lim="800000"/>
              </a:ln>
              <a:effectLst/>
            </c:spPr>
          </c:marker>
          <c:xVal>
            <c:strRef>
              <c:f>Visualizations!$C$3:$C$8</c:f>
              <c:strCache>
                <c:ptCount val="5"/>
                <c:pt idx="0">
                  <c:v>Moderate Cost Suburban</c:v>
                </c:pt>
                <c:pt idx="1">
                  <c:v>Urban SoCal</c:v>
                </c:pt>
                <c:pt idx="2">
                  <c:v>Lower Cost Interior</c:v>
                </c:pt>
                <c:pt idx="3">
                  <c:v>Bay Area</c:v>
                </c:pt>
                <c:pt idx="4">
                  <c:v>California Total</c:v>
                </c:pt>
              </c:strCache>
            </c:strRef>
          </c:xVal>
          <c:yVal>
            <c:numRef>
              <c:f>Visualizations!$G$3:$G$8</c:f>
              <c:numCache>
                <c:formatCode>_("$"* #,##0_);_("$"* \(#,##0\);_("$"* "-"??_);_(@_)</c:formatCode>
                <c:ptCount val="6"/>
                <c:pt idx="0">
                  <c:v>8830.1940789473683</c:v>
                </c:pt>
                <c:pt idx="1">
                  <c:v>9480.7000000000007</c:v>
                </c:pt>
                <c:pt idx="2">
                  <c:v>6874.7793103448275</c:v>
                </c:pt>
                <c:pt idx="3">
                  <c:v>10790.554487179488</c:v>
                </c:pt>
                <c:pt idx="4">
                  <c:v>9480.7000000000007</c:v>
                </c:pt>
              </c:numCache>
            </c:numRef>
          </c:yVal>
          <c:smooth val="0"/>
          <c:extLst>
            <c:ext xmlns:c16="http://schemas.microsoft.com/office/drawing/2014/chart" uri="{C3380CC4-5D6E-409C-BE32-E72D297353CC}">
              <c16:uniqueId val="{00000003-57B3-4711-BEA0-47881BE85C1B}"/>
            </c:ext>
          </c:extLst>
        </c:ser>
        <c:dLbls>
          <c:showLegendKey val="0"/>
          <c:showVal val="0"/>
          <c:showCatName val="0"/>
          <c:showSerName val="0"/>
          <c:showPercent val="0"/>
          <c:showBubbleSize val="0"/>
        </c:dLbls>
        <c:axId val="1780198351"/>
        <c:axId val="1780181551"/>
      </c:scatterChart>
      <c:catAx>
        <c:axId val="562970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2973248"/>
        <c:crosses val="autoZero"/>
        <c:auto val="1"/>
        <c:lblAlgn val="ctr"/>
        <c:lblOffset val="100"/>
        <c:noMultiLvlLbl val="0"/>
      </c:catAx>
      <c:valAx>
        <c:axId val="562973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TDC/Unit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2970848"/>
        <c:crosses val="autoZero"/>
        <c:crossBetween val="between"/>
      </c:valAx>
      <c:valAx>
        <c:axId val="1780181551"/>
        <c:scaling>
          <c:orientation val="minMax"/>
        </c:scaling>
        <c:delete val="0"/>
        <c:axPos val="r"/>
        <c:title>
          <c:tx>
            <c:rich>
              <a:bodyPr rot="5400000" spcFirstLastPara="1" vertOverflow="ellipsis" wrap="square" anchor="ctr" anchorCtr="0"/>
              <a:lstStyle/>
              <a:p>
                <a:pPr>
                  <a:defRPr sz="1000" b="0" i="0" u="none" strike="noStrike" kern="1200" baseline="0">
                    <a:solidFill>
                      <a:schemeClr val="tx1">
                        <a:lumMod val="65000"/>
                        <a:lumOff val="35000"/>
                      </a:schemeClr>
                    </a:solidFill>
                    <a:latin typeface="+mn-lt"/>
                    <a:ea typeface="+mn-ea"/>
                    <a:cs typeface="+mn-cs"/>
                  </a:defRPr>
                </a:pPr>
                <a:r>
                  <a:rPr lang="en-US"/>
                  <a:t>OpEx/Unit</a:t>
                </a:r>
              </a:p>
            </c:rich>
          </c:tx>
          <c:overlay val="0"/>
          <c:spPr>
            <a:noFill/>
            <a:ln>
              <a:noFill/>
            </a:ln>
            <a:effectLst/>
          </c:spPr>
          <c:txPr>
            <a:bodyPr rot="5400000" spcFirstLastPara="1" vertOverflow="ellipsis" wrap="square" anchor="ctr" anchorCtr="0"/>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_);_(&quot;$&quot;* \(#,##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0198351"/>
        <c:crosses val="max"/>
        <c:crossBetween val="midCat"/>
      </c:valAx>
      <c:valAx>
        <c:axId val="1780198351"/>
        <c:scaling>
          <c:orientation val="minMax"/>
        </c:scaling>
        <c:delete val="1"/>
        <c:axPos val="b"/>
        <c:majorTickMark val="out"/>
        <c:minorTickMark val="none"/>
        <c:tickLblPos val="nextTo"/>
        <c:crossAx val="1780181551"/>
        <c:crosses val="autoZero"/>
        <c:crossBetween val="midCat"/>
      </c:valAx>
      <c:spPr>
        <a:noFill/>
        <a:ln>
          <a:noFill/>
        </a:ln>
        <a:effectLst/>
      </c:spPr>
    </c:plotArea>
    <c:legend>
      <c:legendPos val="b"/>
      <c:legendEntry>
        <c:idx val="3"/>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6</xdr:col>
      <xdr:colOff>417830</xdr:colOff>
      <xdr:row>9</xdr:row>
      <xdr:rowOff>146050</xdr:rowOff>
    </xdr:from>
    <xdr:to>
      <xdr:col>13</xdr:col>
      <xdr:colOff>527050</xdr:colOff>
      <xdr:row>30</xdr:row>
      <xdr:rowOff>110807</xdr:rowOff>
    </xdr:to>
    <xdr:graphicFrame macro="">
      <xdr:nvGraphicFramePr>
        <xdr:cNvPr id="2" name="Chart 1">
          <a:extLst>
            <a:ext uri="{FF2B5EF4-FFF2-40B4-BE49-F238E27FC236}">
              <a16:creationId xmlns:a16="http://schemas.microsoft.com/office/drawing/2014/main" id="{A5F39626-5704-0FFE-8124-44F947F37A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20002</xdr:colOff>
      <xdr:row>11</xdr:row>
      <xdr:rowOff>168592</xdr:rowOff>
    </xdr:from>
    <xdr:to>
      <xdr:col>10</xdr:col>
      <xdr:colOff>133350</xdr:colOff>
      <xdr:row>31</xdr:row>
      <xdr:rowOff>76200</xdr:rowOff>
    </xdr:to>
    <xdr:graphicFrame macro="">
      <xdr:nvGraphicFramePr>
        <xdr:cNvPr id="3" name="Chart 2">
          <a:extLst>
            <a:ext uri="{FF2B5EF4-FFF2-40B4-BE49-F238E27FC236}">
              <a16:creationId xmlns:a16="http://schemas.microsoft.com/office/drawing/2014/main" id="{858CDCBB-DE73-82A2-5E0E-390A73803F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ames Yelen" id="{6CB5B9D2-3FF9-493E-9AA7-18250951FDBF}" userId="James Yelen" providerId="None"/>
  <person displayName="James Yelen" id="{A2F4F8A3-C05C-4C0E-B5A9-1B13E8FC737B}" userId="S::jyelen@groundedsolutions.org::37f98c53-c9bf-4678-96b3-fbc80da8f460" providerId="AD"/>
  <person displayName="Alex Cabral" id="{31676725-C182-4A39-98B9-5113C4248763}" userId="S::acabral@groundedsolutions.org::8ebaf660-f277-4941-bde3-e2efd433fa98" providerId="AD"/>
  <person displayName="Ainsley Ash" id="{C04D9B7A-CF5A-4A80-AA0F-C986EE115850}" userId="S::aash_groundedsolutions.org#ext#@enterprisecommunity.onmicrosoft.com::5b5cfd09-0ce8-4f2c-9790-2b6dc51d364c" providerId="AD"/>
</personList>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mes Yelen" refreshedDate="45944.538828935183" backgroundQuery="1" createdVersion="8" refreshedVersion="8" minRefreshableVersion="3" recordCount="0" supportSubquery="1" supportAdvancedDrill="1" xr:uid="{37FA9815-2059-4D29-9780-0BE8767D9E5F}">
  <cacheSource type="external" connectionId="1"/>
  <cacheFields count="5">
    <cacheField name="[Range].[Subregion/Submarket].[Subregion/Submarket]" caption="Subregion/Submarket" numFmtId="0" hierarchy="3" level="1">
      <sharedItems count="5">
        <s v="Bay Area"/>
        <s v="Los Angeles County"/>
        <s v="Lower Cost Interior"/>
        <s v="Moderate Cost Suburban"/>
        <s v="Urban SoCal"/>
      </sharedItems>
    </cacheField>
    <cacheField name="[Measures].[Count of Subregion/Submarket]" caption="Count of Subregion/Submarket" numFmtId="0" hierarchy="51" level="32767"/>
    <cacheField name="[Measures].[Average of Units]" caption="Average of Units" numFmtId="0" hierarchy="53" level="32767"/>
    <cacheField name="[Measures].[Average of OpEx Per-Unit]" caption="Average of OpEx Per-Unit" numFmtId="0" hierarchy="60" level="32767"/>
    <cacheField name="[Measures].[Average of TDC Per-Unit]" caption="Average of TDC Per-Unit" numFmtId="0" hierarchy="61" level="32767"/>
  </cacheFields>
  <cacheHierarchies count="64">
    <cacheHierarchy uniqueName="[Range].[Project ID]" caption="Project ID" attribute="1" defaultMemberUniqueName="[Range].[Project ID].[All]" allUniqueName="[Range].[Project ID].[All]" dimensionUniqueName="[Range]" displayFolder="" count="0" memberValueDatatype="20" unbalanced="0"/>
    <cacheHierarchy uniqueName="[Range].[Sponsor Type]" caption="Sponsor Type" attribute="1" defaultMemberUniqueName="[Range].[Sponsor Type].[All]" allUniqueName="[Range].[Sponsor Type].[All]" dimensionUniqueName="[Range]" displayFolder="" count="0" memberValueDatatype="130" unbalanced="0"/>
    <cacheHierarchy uniqueName="[Range].[City]" caption="City" attribute="1" defaultMemberUniqueName="[Range].[City].[All]" allUniqueName="[Range].[City].[All]" dimensionUniqueName="[Range]" displayFolder="" count="0" memberValueDatatype="130" unbalanced="0"/>
    <cacheHierarchy uniqueName="[Range].[Subregion/Submarket]" caption="Subregion/Submarket" attribute="1" defaultMemberUniqueName="[Range].[Subregion/Submarket].[All]" allUniqueName="[Range].[Subregion/Submarket].[All]" dimensionUniqueName="[Range]" displayFolder="" count="2" memberValueDatatype="130" unbalanced="0">
      <fieldsUsage count="2">
        <fieldUsage x="-1"/>
        <fieldUsage x="0"/>
      </fieldsUsage>
    </cacheHierarchy>
    <cacheHierarchy uniqueName="[Range].[Units]" caption="Units" attribute="1" defaultMemberUniqueName="[Range].[Units].[All]" allUniqueName="[Range].[Units].[All]" dimensionUniqueName="[Range]" displayFolder="" count="0" memberValueDatatype="20" unbalanced="0"/>
    <cacheHierarchy uniqueName="[Range].[AMI Average]" caption="AMI Average" attribute="1" defaultMemberUniqueName="[Range].[AMI Average].[All]" allUniqueName="[Range].[AMI Average].[All]" dimensionUniqueName="[Range]" displayFolder="" count="0" memberValueDatatype="130" unbalanced="0"/>
    <cacheHierarchy uniqueName="[Range].[Year Built]" caption="Year Built" attribute="1" defaultMemberUniqueName="[Range].[Year Built].[All]" allUniqueName="[Range].[Year Built].[All]" dimensionUniqueName="[Range]" displayFolder="" count="0" memberValueDatatype="130" unbalanced="0"/>
    <cacheHierarchy uniqueName="[Range].[Development Type]" caption="Development Type" attribute="1" defaultMemberUniqueName="[Range].[Development Type].[All]" allUniqueName="[Range].[Development Type].[All]" dimensionUniqueName="[Range]" displayFolder="" count="0" memberValueDatatype="130" unbalanced="0"/>
    <cacheHierarchy uniqueName="[Range].[Building Type]" caption="Building Type" attribute="1" defaultMemberUniqueName="[Range].[Building Type].[All]" allUniqueName="[Range].[Building Type].[All]" dimensionUniqueName="[Range]" displayFolder="" count="0" memberValueDatatype="130" unbalanced="0"/>
    <cacheHierarchy uniqueName="[Range].[Purchase Price]" caption="Purchase Price" attribute="1" defaultMemberUniqueName="[Range].[Purchase Price].[All]" allUniqueName="[Range].[Purchase Price].[All]" dimensionUniqueName="[Range]" displayFolder="" count="0" memberValueDatatype="20" unbalanced="0"/>
    <cacheHierarchy uniqueName="[Range].[Legal]" caption="Legal" attribute="1" defaultMemberUniqueName="[Range].[Legal].[All]" allUniqueName="[Range].[Legal].[All]" dimensionUniqueName="[Range]" displayFolder="" count="0" memberValueDatatype="5" unbalanced="0"/>
    <cacheHierarchy uniqueName="[Range].[Relocation]" caption="Relocation" attribute="1" defaultMemberUniqueName="[Range].[Relocation].[All]" allUniqueName="[Range].[Relocation].[All]" dimensionUniqueName="[Range]" displayFolder="" count="0" memberValueDatatype="20" unbalanced="0"/>
    <cacheHierarchy uniqueName="[Range].[Developer Fee]" caption="Developer Fee" attribute="1" defaultMemberUniqueName="[Range].[Developer Fee].[All]" allUniqueName="[Range].[Developer Fee].[All]" dimensionUniqueName="[Range]" displayFolder="" count="0" memberValueDatatype="5" unbalanced="0"/>
    <cacheHierarchy uniqueName="[Range].[Professional services (architecture, engineering, etc.)]" caption="Professional services (architecture, engineering, etc.)" attribute="1" defaultMemberUniqueName="[Range].[Professional services (architecture, engineering, etc.)].[All]" allUniqueName="[Range].[Professional services (architecture, engineering, etc.)].[All]" dimensionUniqueName="[Range]" displayFolder="" count="0" memberValueDatatype="5" unbalanced="0"/>
    <cacheHierarchy uniqueName="[Range].[Permitting/entitlements]" caption="Permitting/entitlements" attribute="1" defaultMemberUniqueName="[Range].[Permitting/entitlements].[All]" allUniqueName="[Range].[Permitting/entitlements].[All]" dimensionUniqueName="[Range]" displayFolder="" count="0" memberValueDatatype="5" unbalanced="0"/>
    <cacheHierarchy uniqueName="[Range].[Soft Cost Contingency]" caption="Soft Cost Contingency" attribute="1" defaultMemberUniqueName="[Range].[Soft Cost Contingency].[All]" allUniqueName="[Range].[Soft Cost Contingency].[All]" dimensionUniqueName="[Range]" displayFolder="" count="0" memberValueDatatype="5" unbalanced="0"/>
    <cacheHierarchy uniqueName="[Range].[Financing Costs]" caption="Financing Costs" attribute="1" defaultMemberUniqueName="[Range].[Financing Costs].[All]" allUniqueName="[Range].[Financing Costs].[All]" dimensionUniqueName="[Range]" displayFolder="" count="0" memberValueDatatype="5" unbalanced="0"/>
    <cacheHierarchy uniqueName="[Range].[Other Soft Costs]" caption="Other Soft Costs" attribute="1" defaultMemberUniqueName="[Range].[Other Soft Costs].[All]" allUniqueName="[Range].[Other Soft Costs].[All]" dimensionUniqueName="[Range]" displayFolder="" count="0" memberValueDatatype="5" unbalanced="0"/>
    <cacheHierarchy uniqueName="[Range].[Total Soft Costs]" caption="Total Soft Costs" attribute="1" defaultMemberUniqueName="[Range].[Total Soft Costs].[All]" allUniqueName="[Range].[Total Soft Costs].[All]" dimensionUniqueName="[Range]" displayFolder="" count="0" memberValueDatatype="5" unbalanced="0"/>
    <cacheHierarchy uniqueName="[Range].[GC Fee]" caption="GC Fee" attribute="1" defaultMemberUniqueName="[Range].[GC Fee].[All]" allUniqueName="[Range].[GC Fee].[All]" dimensionUniqueName="[Range]" displayFolder="" count="0" memberValueDatatype="5" unbalanced="0"/>
    <cacheHierarchy uniqueName="[Range].[Electrical]" caption="Electrical" attribute="1" defaultMemberUniqueName="[Range].[Electrical].[All]" allUniqueName="[Range].[Electrical].[All]" dimensionUniqueName="[Range]" displayFolder="" count="0" memberValueDatatype="20" unbalanced="0"/>
    <cacheHierarchy uniqueName="[Range].[Structural]" caption="Structural" attribute="1" defaultMemberUniqueName="[Range].[Structural].[All]" allUniqueName="[Range].[Structural].[All]" dimensionUniqueName="[Range]" displayFolder="" count="0" memberValueDatatype="5" unbalanced="0"/>
    <cacheHierarchy uniqueName="[Range].[Plumbing]" caption="Plumbing" attribute="1" defaultMemberUniqueName="[Range].[Plumbing].[All]" allUniqueName="[Range].[Plumbing].[All]" dimensionUniqueName="[Range]" displayFolder="" count="0" memberValueDatatype="20" unbalanced="0"/>
    <cacheHierarchy uniqueName="[Range].[Site improvements (landscaping, driveways, etc)]" caption="Site improvements (landscaping, driveways, etc)" attribute="1" defaultMemberUniqueName="[Range].[Site improvements (landscaping, driveways, etc)].[All]" allUniqueName="[Range].[Site improvements (landscaping, driveways, etc)].[All]" dimensionUniqueName="[Range]" displayFolder="" count="0" memberValueDatatype="20" unbalanced="0"/>
    <cacheHierarchy uniqueName="[Range].[HVAC]" caption="HVAC" attribute="1" defaultMemberUniqueName="[Range].[HVAC].[All]" allUniqueName="[Range].[HVAC].[All]" dimensionUniqueName="[Range]" displayFolder="" count="0" memberValueDatatype="20" unbalanced="0"/>
    <cacheHierarchy uniqueName="[Range].[Contingency]" caption="Contingency" attribute="1" defaultMemberUniqueName="[Range].[Contingency].[All]" allUniqueName="[Range].[Contingency].[All]" dimensionUniqueName="[Range]" displayFolder="" count="0" memberValueDatatype="5" unbalanced="0"/>
    <cacheHierarchy uniqueName="[Range].[Other]" caption="Other" attribute="1" defaultMemberUniqueName="[Range].[Other].[All]" allUniqueName="[Range].[Other].[All]" dimensionUniqueName="[Range]" displayFolder="" count="0" memberValueDatatype="20" unbalanced="0"/>
    <cacheHierarchy uniqueName="[Range].[Total Construction Costs]" caption="Total Construction Costs" attribute="1" defaultMemberUniqueName="[Range].[Total Construction Costs].[All]" allUniqueName="[Range].[Total Construction Costs].[All]" dimensionUniqueName="[Range]" displayFolder="" count="0" memberValueDatatype="5" unbalanced="0"/>
    <cacheHierarchy uniqueName="[Range].[Total Development Cost]" caption="Total Development Cost" attribute="1" defaultMemberUniqueName="[Range].[Total Development Cost].[All]" allUniqueName="[Range].[Total Development Cost].[All]" dimensionUniqueName="[Range]" displayFolder="" count="0" memberValueDatatype="5" unbalanced="0"/>
    <cacheHierarchy uniqueName="[Range].[TDC Per-Unit]" caption="TDC Per-Unit" attribute="1" defaultMemberUniqueName="[Range].[TDC Per-Unit].[All]" allUniqueName="[Range].[TDC Per-Unit].[All]" dimensionUniqueName="[Range]" displayFolder="" count="0" memberValueDatatype="5" unbalanced="0"/>
    <cacheHierarchy uniqueName="[Range].[Local Policy Impact]" caption="Local Policy Impact" attribute="1" defaultMemberUniqueName="[Range].[Local Policy Impact].[All]" allUniqueName="[Range].[Local Policy Impact].[All]" dimensionUniqueName="[Range]" displayFolder="" count="0" memberValueDatatype="130" unbalanced="0"/>
    <cacheHierarchy uniqueName="[Range].[Rehab Level]" caption="Rehab Level" attribute="1" defaultMemberUniqueName="[Range].[Rehab Level].[All]" allUniqueName="[Range].[Rehab Level].[All]" dimensionUniqueName="[Range]" displayFolder="" count="0" memberValueDatatype="130" unbalanced="0"/>
    <cacheHierarchy uniqueName="[Range].[Sponsor Equity]" caption="Sponsor Equity" attribute="1" defaultMemberUniqueName="[Range].[Sponsor Equity].[All]" allUniqueName="[Range].[Sponsor Equity].[All]" dimensionUniqueName="[Range]" displayFolder="" count="0" memberValueDatatype="130" unbalanced="0"/>
    <cacheHierarchy uniqueName="[Range].[Senior Loan]" caption="Senior Loan" attribute="1" defaultMemberUniqueName="[Range].[Senior Loan].[All]" allUniqueName="[Range].[Senior Loan].[All]" dimensionUniqueName="[Range]" displayFolder="" count="0" memberValueDatatype="20" unbalanced="0"/>
    <cacheHierarchy uniqueName="[Range].[City Subsidy]" caption="City Subsidy" attribute="1" defaultMemberUniqueName="[Range].[City Subsidy].[All]" allUniqueName="[Range].[City Subsidy].[All]" dimensionUniqueName="[Range]" displayFolder="" count="0" memberValueDatatype="20" unbalanced="0"/>
    <cacheHierarchy uniqueName="[Range].[County Subsidy]" caption="County Subsidy" attribute="1" defaultMemberUniqueName="[Range].[County Subsidy].[All]" allUniqueName="[Range].[County Subsidy].[All]" dimensionUniqueName="[Range]" displayFolder="" count="0" memberValueDatatype="20" unbalanced="0"/>
    <cacheHierarchy uniqueName="[Range].[Federal Subsidy]" caption="Federal Subsidy" attribute="1" defaultMemberUniqueName="[Range].[Federal Subsidy].[All]" allUniqueName="[Range].[Federal Subsidy].[All]" dimensionUniqueName="[Range]" displayFolder="" count="0" memberValueDatatype="20" unbalanced="0"/>
    <cacheHierarchy uniqueName="[Range].[State Subsidy]" caption="State Subsidy" attribute="1" defaultMemberUniqueName="[Range].[State Subsidy].[All]" allUniqueName="[Range].[State Subsidy].[All]" dimensionUniqueName="[Range]" displayFolder="" count="0" memberValueDatatype="20" unbalanced="0"/>
    <cacheHierarchy uniqueName="[Range].[Other 2]" caption="Other 2" attribute="1" defaultMemberUniqueName="[Range].[Other 2].[All]" allUniqueName="[Range].[Other 2].[All]" dimensionUniqueName="[Range]" displayFolder="" count="0" memberValueDatatype="20" unbalanced="0"/>
    <cacheHierarchy uniqueName="[Range].[Total Sources]" caption="Total Sources" attribute="1" defaultMemberUniqueName="[Range].[Total Sources].[All]" allUniqueName="[Range].[Total Sources].[All]" dimensionUniqueName="[Range]" displayFolder="" count="0" memberValueDatatype="20" unbalanced="0"/>
    <cacheHierarchy uniqueName="[Range].[Utilities]" caption="Utilities" attribute="1" defaultMemberUniqueName="[Range].[Utilities].[All]" allUniqueName="[Range].[Utilities].[All]" dimensionUniqueName="[Range]" displayFolder="" count="0" memberValueDatatype="5" unbalanced="0"/>
    <cacheHierarchy uniqueName="[Range].[Insurance]" caption="Insurance" attribute="1" defaultMemberUniqueName="[Range].[Insurance].[All]" allUniqueName="[Range].[Insurance].[All]" dimensionUniqueName="[Range]" displayFolder="" count="0" memberValueDatatype="5" unbalanced="0"/>
    <cacheHierarchy uniqueName="[Range].[Property Management]" caption="Property Management" attribute="1" defaultMemberUniqueName="[Range].[Property Management].[All]" allUniqueName="[Range].[Property Management].[All]" dimensionUniqueName="[Range]" displayFolder="" count="0" memberValueDatatype="20" unbalanced="0"/>
    <cacheHierarchy uniqueName="[Range].[Administrative]" caption="Administrative" attribute="1" defaultMemberUniqueName="[Range].[Administrative].[All]" allUniqueName="[Range].[Administrative].[All]" dimensionUniqueName="[Range]" displayFolder="" count="0" memberValueDatatype="20" unbalanced="0"/>
    <cacheHierarchy uniqueName="[Range].[Repairs and Maintenance]" caption="Repairs and Maintenance" attribute="1" defaultMemberUniqueName="[Range].[Repairs and Maintenance].[All]" allUniqueName="[Range].[Repairs and Maintenance].[All]" dimensionUniqueName="[Range]" displayFolder="" count="0" memberValueDatatype="20" unbalanced="0"/>
    <cacheHierarchy uniqueName="[Range].[Replacement Reserves]" caption="Replacement Reserves" attribute="1" defaultMemberUniqueName="[Range].[Replacement Reserves].[All]" allUniqueName="[Range].[Replacement Reserves].[All]" dimensionUniqueName="[Range]" displayFolder="" count="0" memberValueDatatype="20" unbalanced="0"/>
    <cacheHierarchy uniqueName="[Range].[Payroll (On-site staff, resident services, etc.)]" caption="Payroll (On-site staff, resident services, etc.)" attribute="1" defaultMemberUniqueName="[Range].[Payroll (On-site staff, resident services, etc.)].[All]" allUniqueName="[Range].[Payroll (On-site staff, resident services, etc.)].[All]" dimensionUniqueName="[Range]" displayFolder="" count="0" memberValueDatatype="20" unbalanced="0"/>
    <cacheHierarchy uniqueName="[Range].[Other (Security]" caption="Other (Security" attribute="1" defaultMemberUniqueName="[Range].[Other (Security].[All]" allUniqueName="[Range].[Other (Security].[All]" dimensionUniqueName="[Range]" displayFolder="" count="0" memberValueDatatype="20" unbalanced="0"/>
    <cacheHierarchy uniqueName="[Range].[Taxes]" caption="Taxes" attribute="1" defaultMemberUniqueName="[Range].[Taxes].[All]" allUniqueName="[Range].[Taxes].[All]" dimensionUniqueName="[Range]" displayFolder="" count="0" memberValueDatatype="5" unbalanced="0"/>
    <cacheHierarchy uniqueName="[Range].[Total OpEx]" caption="Total OpEx" attribute="1" defaultMemberUniqueName="[Range].[Total OpEx].[All]" allUniqueName="[Range].[Total OpEx].[All]" dimensionUniqueName="[Range]" displayFolder="" count="0" memberValueDatatype="5" unbalanced="0"/>
    <cacheHierarchy uniqueName="[Range].[OpEx Per-Unit]" caption="OpEx Per-Unit" attribute="1" defaultMemberUniqueName="[Range].[OpEx Per-Unit].[All]" allUniqueName="[Range].[OpEx Per-Unit].[All]" dimensionUniqueName="[Range]" displayFolder="" count="0" memberValueDatatype="5" unbalanced="0"/>
    <cacheHierarchy uniqueName="[Measures].[Count of Subregion/Submarket]" caption="Count of Subregion/Submarket" measure="1" displayFolder="" measureGroup="Range" count="0" oneField="1">
      <fieldsUsage count="1">
        <fieldUsage x="1"/>
      </fieldsUsage>
      <extLst>
        <ext xmlns:x15="http://schemas.microsoft.com/office/spreadsheetml/2010/11/main" uri="{B97F6D7D-B522-45F9-BDA1-12C45D357490}">
          <x15:cacheHierarchy aggregatedColumn="3"/>
        </ext>
      </extLst>
    </cacheHierarchy>
    <cacheHierarchy uniqueName="[Measures].[Sum of Units]" caption="Sum of Units" measure="1" displayFolder="" measureGroup="Range" count="0">
      <extLst>
        <ext xmlns:x15="http://schemas.microsoft.com/office/spreadsheetml/2010/11/main" uri="{B97F6D7D-B522-45F9-BDA1-12C45D357490}">
          <x15:cacheHierarchy aggregatedColumn="4"/>
        </ext>
      </extLst>
    </cacheHierarchy>
    <cacheHierarchy uniqueName="[Measures].[Average of Units]" caption="Average of Units" measure="1" displayFolder="" measureGroup="Range" count="0" oneField="1">
      <fieldsUsage count="1">
        <fieldUsage x="2"/>
      </fieldsUsage>
      <extLst>
        <ext xmlns:x15="http://schemas.microsoft.com/office/spreadsheetml/2010/11/main" uri="{B97F6D7D-B522-45F9-BDA1-12C45D357490}">
          <x15:cacheHierarchy aggregatedColumn="4"/>
        </ext>
      </extLst>
    </cacheHierarchy>
    <cacheHierarchy uniqueName="[Measures].[Count of AMI Average]" caption="Count of AMI Average" measure="1" displayFolder="" measureGroup="Range" count="0">
      <extLst>
        <ext xmlns:x15="http://schemas.microsoft.com/office/spreadsheetml/2010/11/main" uri="{B97F6D7D-B522-45F9-BDA1-12C45D357490}">
          <x15:cacheHierarchy aggregatedColumn="5"/>
        </ext>
      </extLst>
    </cacheHierarchy>
    <cacheHierarchy uniqueName="[Measures].[Count of Year Built]" caption="Count of Year Built" measure="1" displayFolder="" measureGroup="Range" count="0">
      <extLst>
        <ext xmlns:x15="http://schemas.microsoft.com/office/spreadsheetml/2010/11/main" uri="{B97F6D7D-B522-45F9-BDA1-12C45D357490}">
          <x15:cacheHierarchy aggregatedColumn="6"/>
        </ext>
      </extLst>
    </cacheHierarchy>
    <cacheHierarchy uniqueName="[Measures].[Count of Development Type]" caption="Count of Development Type" measure="1" displayFolder="" measureGroup="Range" count="0">
      <extLst>
        <ext xmlns:x15="http://schemas.microsoft.com/office/spreadsheetml/2010/11/main" uri="{B97F6D7D-B522-45F9-BDA1-12C45D357490}">
          <x15:cacheHierarchy aggregatedColumn="7"/>
        </ext>
      </extLst>
    </cacheHierarchy>
    <cacheHierarchy uniqueName="[Measures].[Sum of Purchase Price]" caption="Sum of Purchase Price" measure="1" displayFolder="" measureGroup="Range" count="0">
      <extLst>
        <ext xmlns:x15="http://schemas.microsoft.com/office/spreadsheetml/2010/11/main" uri="{B97F6D7D-B522-45F9-BDA1-12C45D357490}">
          <x15:cacheHierarchy aggregatedColumn="9"/>
        </ext>
      </extLst>
    </cacheHierarchy>
    <cacheHierarchy uniqueName="[Measures].[Sum of TDC Per-Unit]" caption="Sum of TDC Per-Unit" measure="1" displayFolder="" measureGroup="Range" count="0">
      <extLst>
        <ext xmlns:x15="http://schemas.microsoft.com/office/spreadsheetml/2010/11/main" uri="{B97F6D7D-B522-45F9-BDA1-12C45D357490}">
          <x15:cacheHierarchy aggregatedColumn="29"/>
        </ext>
      </extLst>
    </cacheHierarchy>
    <cacheHierarchy uniqueName="[Measures].[Sum of OpEx Per-Unit]" caption="Sum of OpEx Per-Unit" measure="1" displayFolder="" measureGroup="Range" count="0">
      <extLst>
        <ext xmlns:x15="http://schemas.microsoft.com/office/spreadsheetml/2010/11/main" uri="{B97F6D7D-B522-45F9-BDA1-12C45D357490}">
          <x15:cacheHierarchy aggregatedColumn="50"/>
        </ext>
      </extLst>
    </cacheHierarchy>
    <cacheHierarchy uniqueName="[Measures].[Average of OpEx Per-Unit]" caption="Average of OpEx Per-Unit" measure="1" displayFolder="" measureGroup="Range" count="0" oneField="1">
      <fieldsUsage count="1">
        <fieldUsage x="3"/>
      </fieldsUsage>
      <extLst>
        <ext xmlns:x15="http://schemas.microsoft.com/office/spreadsheetml/2010/11/main" uri="{B97F6D7D-B522-45F9-BDA1-12C45D357490}">
          <x15:cacheHierarchy aggregatedColumn="50"/>
        </ext>
      </extLst>
    </cacheHierarchy>
    <cacheHierarchy uniqueName="[Measures].[Average of TDC Per-Unit]" caption="Average of TDC Per-Unit" measure="1" displayFolder="" measureGroup="Range" count="0" oneField="1">
      <fieldsUsage count="1">
        <fieldUsage x="4"/>
      </fieldsUsage>
      <extLst>
        <ext xmlns:x15="http://schemas.microsoft.com/office/spreadsheetml/2010/11/main" uri="{B97F6D7D-B522-45F9-BDA1-12C45D357490}">
          <x15:cacheHierarchy aggregatedColumn="29"/>
        </ext>
      </extLst>
    </cacheHierarchy>
    <cacheHierarchy uniqueName="[Measures].[__XL_Count Range]" caption="__XL_Count Range" measure="1" displayFolder="" measureGroup="Range" count="0" hidden="1"/>
    <cacheHierarchy uniqueName="[Measures].[__No measures defined]" caption="__No measures defined" measure="1" displayFolder="" count="0" hidden="1"/>
  </cacheHierarchies>
  <kpis count="0"/>
  <dimensions count="2">
    <dimension measure="1" name="Measures" uniqueName="[Measures]" caption="Measures"/>
    <dimension name="Range" uniqueName="[Range]" caption="Range"/>
  </dimensions>
  <measureGroups count="1">
    <measureGroup name="Range" caption="Range"/>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1CD66E9-3CC6-4248-BB00-418E51A84801}" name="PivotTable1" cacheId="3169" applyNumberFormats="0" applyBorderFormats="0" applyFontFormats="0" applyPatternFormats="0" applyAlignmentFormats="0" applyWidthHeightFormats="1" dataCaption="Values" updatedVersion="8" minRefreshableVersion="3" useAutoFormatting="1" subtotalHiddenItems="1" itemPrintTitles="1" createdVersion="8" indent="0" outline="1" outlineData="1" multipleFieldFilters="0">
  <location ref="A3:E9" firstHeaderRow="0" firstDataRow="1" firstDataCol="1"/>
  <pivotFields count="5">
    <pivotField axis="axisRow" allDrilled="1" subtotalTop="0" showAll="0" dataSourceSort="1" defaultSubtotal="0" defaultAttributeDrillState="1">
      <items count="5">
        <item x="0"/>
        <item x="1"/>
        <item x="2"/>
        <item x="3"/>
        <item x="4"/>
      </items>
    </pivotField>
    <pivotField dataField="1" subtotalTop="0" showAll="0" defaultSubtotal="0"/>
    <pivotField dataField="1" subtotalTop="0" showAll="0" defaultSubtotal="0"/>
    <pivotField dataField="1" subtotalTop="0" showAll="0" defaultSubtotal="0"/>
    <pivotField dataField="1" subtotalTop="0" showAll="0" defaultSubtotal="0"/>
  </pivotFields>
  <rowFields count="1">
    <field x="0"/>
  </rowFields>
  <rowItems count="6">
    <i>
      <x/>
    </i>
    <i>
      <x v="1"/>
    </i>
    <i>
      <x v="2"/>
    </i>
    <i>
      <x v="3"/>
    </i>
    <i>
      <x v="4"/>
    </i>
    <i t="grand">
      <x/>
    </i>
  </rowItems>
  <colFields count="1">
    <field x="-2"/>
  </colFields>
  <colItems count="4">
    <i>
      <x/>
    </i>
    <i i="1">
      <x v="1"/>
    </i>
    <i i="2">
      <x v="2"/>
    </i>
    <i i="3">
      <x v="3"/>
    </i>
  </colItems>
  <dataFields count="4">
    <dataField name="Count of Subregion/Submarket" fld="1" subtotal="count" baseField="0" baseItem="0"/>
    <dataField name="Average of Units" fld="2" subtotal="average" baseField="0" baseItem="0"/>
    <dataField name="Average of OpEx Per-Unit" fld="3" subtotal="average" baseField="0" baseItem="0"/>
    <dataField name="Average of TDC Per-Unit" fld="4" subtotal="average" baseField="0" baseItem="0"/>
  </dataFields>
  <pivotHierarchies count="64">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Average of Units"/>
    <pivotHierarchy dragToData="1"/>
    <pivotHierarchy dragToData="1"/>
    <pivotHierarchy dragToData="1"/>
    <pivotHierarchy dragToData="1"/>
    <pivotHierarchy dragToData="1"/>
    <pivotHierarchy dragToData="1"/>
    <pivotHierarchy dragToData="1" caption="Average of OpEx Per-Unit"/>
    <pivotHierarchy dragToData="1" caption="Average of TDC Per-Unit"/>
    <pivotHierarchy dragToRow="0" dragToCol="0" dragToPage="0" dragToData="1"/>
    <pivotHierarchy dragToRow="0" dragToCol="0" dragToPage="0" dragToData="1"/>
  </pivotHierarchies>
  <pivotTableStyleInfo name="PivotStyleLight16" showRowHeaders="1" showColHeaders="1" showRowStripes="0" showColStripes="0" showLastColumn="1"/>
  <rowHierarchiesUsage count="1">
    <rowHierarchyUsage hierarchyUsage="3"/>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Raw Cost Data!$A$1:$AY$27">
        <x15:activeTabTopLevelEntity name="[Range]"/>
      </x15:pivotTableUISettings>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L88" dT="2025-09-30T19:21:17.47" personId="{31676725-C182-4A39-98B9-5113C4248763}" id="{7E6E12E6-8571-4265-8383-AC351FEDAB6A}">
    <text>Double check to make sure this is calculated the same as historic tax credits</text>
  </threadedComment>
</ThreadedComments>
</file>

<file path=xl/threadedComments/threadedComment2.xml><?xml version="1.0" encoding="utf-8"?>
<ThreadedComments xmlns="http://schemas.microsoft.com/office/spreadsheetml/2018/threadedcomments" xmlns:x="http://schemas.openxmlformats.org/spreadsheetml/2006/main">
  <threadedComment ref="L67" dT="2025-09-30T19:21:17.47" personId="{31676725-C182-4A39-98B9-5113C4248763}" id="{EAD456BA-326E-45E0-A40F-1E613ED6CB03}">
    <text>Double check to make sure this is calculated the same as historic tax credits</text>
  </threadedComment>
</ThreadedComments>
</file>

<file path=xl/threadedComments/threadedComment3.xml><?xml version="1.0" encoding="utf-8"?>
<ThreadedComments xmlns="http://schemas.microsoft.com/office/spreadsheetml/2018/threadedcomments" xmlns:x="http://schemas.openxmlformats.org/spreadsheetml/2006/main">
  <threadedComment ref="L60" dT="2025-09-30T19:21:17.47" personId="{31676725-C182-4A39-98B9-5113C4248763}" id="{88D8CAF6-576E-4FEF-8AC8-91B236A7DA9C}">
    <text>Double check to make sure this is calculated the same as historic tax credits</text>
  </threadedComment>
</ThreadedComments>
</file>

<file path=xl/threadedComments/threadedComment4.xml><?xml version="1.0" encoding="utf-8"?>
<ThreadedComments xmlns="http://schemas.microsoft.com/office/spreadsheetml/2018/threadedcomments" xmlns:x="http://schemas.openxmlformats.org/spreadsheetml/2006/main">
  <threadedComment ref="L60" dT="2025-09-30T19:21:17.47" personId="{31676725-C182-4A39-98B9-5113C4248763}" id="{C9F3C8B5-108E-4FF0-9FD2-6CF829C399EF}">
    <text>Double check to make sure this is calculated the same as historic tax credits</text>
  </threadedComment>
</ThreadedComments>
</file>

<file path=xl/threadedComments/threadedComment5.xml><?xml version="1.0" encoding="utf-8"?>
<ThreadedComments xmlns="http://schemas.microsoft.com/office/spreadsheetml/2018/threadedcomments" xmlns:x="http://schemas.openxmlformats.org/spreadsheetml/2006/main">
  <threadedComment ref="AM2" dT="2025-10-10T21:39:13.07" personId="{A2F4F8A3-C05C-4C0E-B5A9-1B13E8FC737B}" id="{A1B45AFC-902C-4935-9BC6-C7E6D34F39C6}">
    <text>Assumed debt, deferred developer fees, operating income, and other sources that developer did not further elaborate on</text>
  </threadedComment>
  <threadedComment ref="AV5" dT="2025-08-22T19:32:40.52" personId="{C04D9B7A-CF5A-4A80-AA0F-C986EE115850}" id="{715A40AA-4215-4860-A724-8B8AAB7F43F2}">
    <text>advertising</text>
  </threadedComment>
  <threadedComment ref="R8" dT="2025-08-05T17:17:49.27" personId="{C04D9B7A-CF5A-4A80-AA0F-C986EE115850}" id="{3D0591F8-1382-4FCA-997E-719BF1A0CE79}">
    <text>Construction Lender Origination Fee: $19,182
Construction Lender Expenses: $20,000
Permanent Lender Expenses: $15,000
Permanent Loan Origination Fee: $15,647
Subtotal: $69,829</text>
  </threadedComment>
  <threadedComment ref="S8" dT="2025-08-05T17:16:59.86" personId="{C04D9B7A-CF5A-4A80-AA0F-C986EE115850}" id="{72F874EE-5AAF-4BA6-B86B-891980A2C30D}">
    <text>Construction Loan Interest: $176,547
Accrued Interest - County HOME: $53,734
Real Estate Taxes During Const: $10,000
Insurance During Const: $50,000
TCAC Application/Res/Monitoring Fee: $31,856
Marketing: $15,000
Furnishings Not in Contract: $23,000
Capitalized Operating Reserve (3 mos.): $72,807
Subtotal: $432,944</text>
  </threadedComment>
  <threadedComment ref="T10" dT="2025-08-06T16:37:18.44" personId="{C04D9B7A-CF5A-4A80-AA0F-C986EE115850}" id="{8F38BA41-6958-4E29-9CBC-2917BD202FB8}">
    <text>General Liabilities Insurance: $2,120
Bond Premium: $3,710
ALTA Survey (cancel fee): $525
Other Redevelopment Costs (line): $125,025</text>
  </threadedComment>
  <threadedComment ref="AC12" dT="2025-10-10T21:56:48.33" personId="{A2F4F8A3-C05C-4C0E-B5A9-1B13E8FC737B}" id="{B3FF1FE0-59CC-4B2B-B6BE-AD4F6BA4D73C}">
    <text>$1,841,648 + balance of financing sources after accounting for all other known expenses</text>
  </threadedComment>
  <threadedComment ref="O27" dT="2025-11-04T21:20:24.43" personId="{A2F4F8A3-C05C-4C0E-B5A9-1B13E8FC737B}" id="{93B36B4E-CD8D-4620-B329-0D7FBAB665DF}">
    <text>Architect, survey, phase I &amp; II, CAN/PNA, other enviro consultants, marketing rent-up, and construction mgmt. fees</text>
  </threadedComment>
  <threadedComment ref="R27" dT="2025-11-13T15:04:15.17" personId="{6CB5B9D2-3FF9-493E-9AA7-18250951FDBF}" id="{D326C3C5-BC4F-4169-BE5D-86568F7FEC43}">
    <text>Perm loan origination fee</text>
  </threadedComment>
  <threadedComment ref="S27" dT="2025-11-04T22:50:39.21" personId="{A2F4F8A3-C05C-4C0E-B5A9-1B13E8FC737B}" id="{44E0EEC1-BD87-48F9-93B1-1493F541D98A}">
    <text>Taxes, insurance, PSA monitoring and servicing fees</text>
  </threadedComment>
  <threadedComment ref="AM27" dT="2025-11-13T15:09:44.87" personId="{6CB5B9D2-3FF9-493E-9AA7-18250951FDBF}" id="{10DE5ED3-30AD-437B-A114-1D0E21D1702C}">
    <text>Deferred developer fee</text>
  </threadedComment>
  <threadedComment ref="M28" dT="2025-11-03T20:40:36.45" personId="{6CB5B9D2-3FF9-493E-9AA7-18250951FDBF}" id="{5231C677-7EE8-4349-8F4C-32BED330A312}">
    <text>For two households over three months</text>
  </threadedComment>
  <threadedComment ref="AB28" dT="2025-11-03T20:38:31.73" personId="{6CB5B9D2-3FF9-493E-9AA7-18250951FDBF}" id="{6F82005E-C3D0-4BDA-9E3B-72DD886CAD5D}">
    <text>$346,333 in Capitalized replacement reserves</text>
  </threadedComment>
  <threadedComment ref="AM28" dT="2025-10-10T21:39:13.07" personId="{A2F4F8A3-C05C-4C0E-B5A9-1B13E8FC737B}" id="{703EF469-35ED-4602-8761-4FEB45E9110D}">
    <text>Assumed debt, deferred developer fees, operating income, and other sources that developer did not further elaborate on</text>
  </threadedComment>
  <threadedComment ref="AV28" dT="2025-11-03T20:46:29.41" personId="{6CB5B9D2-3FF9-493E-9AA7-18250951FDBF}" id="{919A0EC4-C417-42A8-AE28-7A2697C38D98}">
    <text>City Bond Monitoring Fee</text>
  </threadedComment>
  <threadedComment ref="AX28" dT="2025-11-03T20:32:33.37" personId="{6CB5B9D2-3FF9-493E-9AA7-18250951FDBF}" id="{B2663C20-7F3D-4178-9B22-82EA1E78BFAB}">
    <text>8903</text>
  </threadedComment>
  <threadedComment ref="O29" dT="2025-11-04T21:20:24.43" personId="{A2F4F8A3-C05C-4C0E-B5A9-1B13E8FC737B}" id="{37336A71-3DE3-4A90-883C-3C2B9B4DE07D}">
    <text>Architect, survey, phase I &amp; II, CAN/PNA, other enviro consultants, marketing rent-up, and construction mgmt. fees</text>
  </threadedComment>
  <threadedComment ref="R29" dT="2025-11-13T15:04:15.17" personId="{6CB5B9D2-3FF9-493E-9AA7-18250951FDBF}" id="{51548ED0-4BCF-4AFE-AF9A-60D6B508CAC0}">
    <text>Perm loan origination fee</text>
  </threadedComment>
  <threadedComment ref="S29" dT="2025-11-04T22:50:39.21" personId="{A2F4F8A3-C05C-4C0E-B5A9-1B13E8FC737B}" id="{69996E21-E52D-49DB-BFC1-349FE2FD8D37}">
    <text>Taxes, insurance, PSA monitoring and servicing fees</text>
  </threadedComment>
  <threadedComment ref="AM29" dT="2025-11-13T15:09:44.87" personId="{6CB5B9D2-3FF9-493E-9AA7-18250951FDBF}" id="{B08C1B93-5046-4A0C-8CD4-3FC4D3D71A8E}">
    <text>Deferred developer fee</text>
  </threadedComment>
  <threadedComment ref="R30" dT="2026-02-17T17:41:47.02" personId="{6CB5B9D2-3FF9-493E-9AA7-18250951FDBF}" id="{67F0835F-C89B-4E0E-9040-12B812771876}">
    <text xml:space="preserve">Origination fee, PASS simple interest
</text>
  </threadedComment>
  <threadedComment ref="AB30" dT="2026-02-17T17:56:08.99" personId="{6CB5B9D2-3FF9-493E-9AA7-18250951FDBF}" id="{5CD58E58-47D3-4A59-92B0-B0D956F1FC05}">
    <text>Includes replacement reserves, operating reserves and construction mgmt fee for developer</text>
  </threadedComment>
  <threadedComment ref="AM31" dT="2026-02-17T17:53:17.14" personId="{6CB5B9D2-3FF9-493E-9AA7-18250951FDBF}" id="{2D737B1B-25B1-4ACC-B4DF-B443E89EDCD3}">
    <text>Lead paint remediation program grant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www.usbank.com/home-loans/mortgage/mortgage-rates/california.html" TargetMode="External"/><Relationship Id="rId4" Type="http://schemas.microsoft.com/office/2017/10/relationships/threadedComment" Target="../threadedComments/threadedComment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hyperlink" Target="https://www.usbank.com/home-loans/mortgage/mortgage-rates/california.html" TargetMode="External"/><Relationship Id="rId4" Type="http://schemas.microsoft.com/office/2017/10/relationships/threadedComment" Target="../threadedComments/threadedComment4.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5.xml"/><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A6F85-CE97-45E1-9904-7F136517B783}">
  <dimension ref="A1:Y186"/>
  <sheetViews>
    <sheetView zoomScaleNormal="100" workbookViewId="0">
      <selection activeCell="X11" sqref="X11"/>
    </sheetView>
  </sheetViews>
  <sheetFormatPr defaultColWidth="8.7109375" defaultRowHeight="13.9" outlineLevelRow="1"/>
  <cols>
    <col min="1" max="1" width="9.28515625" style="566" customWidth="1"/>
    <col min="2" max="7" width="8.7109375" style="9"/>
    <col min="8" max="8" width="9.5703125" style="9" bestFit="1" customWidth="1"/>
    <col min="9" max="17" width="8.7109375" style="9"/>
    <col min="18" max="18" width="11" style="9" customWidth="1"/>
    <col min="19" max="16384" width="8.7109375" style="9"/>
  </cols>
  <sheetData>
    <row r="1" spans="2:25" ht="14.45">
      <c r="B1" s="567" t="s">
        <v>0</v>
      </c>
    </row>
    <row r="3" spans="2:25" ht="18" customHeight="1">
      <c r="B3" s="568" t="s">
        <v>1</v>
      </c>
      <c r="C3" s="569"/>
      <c r="D3" s="569"/>
      <c r="E3" s="569"/>
      <c r="F3" s="569"/>
      <c r="G3" s="569"/>
      <c r="H3" s="569"/>
      <c r="I3" s="569"/>
      <c r="J3" s="569"/>
      <c r="K3" s="569"/>
      <c r="L3" s="569"/>
      <c r="M3" s="569"/>
      <c r="N3" s="569"/>
      <c r="O3" s="569"/>
      <c r="P3" s="569"/>
      <c r="Q3" s="569"/>
      <c r="R3" s="570"/>
      <c r="S3" s="571"/>
      <c r="T3" s="571"/>
      <c r="U3" s="571"/>
      <c r="V3" s="571"/>
      <c r="W3" s="571"/>
      <c r="X3" s="571"/>
      <c r="Y3" s="571"/>
    </row>
    <row r="4" spans="2:25" outlineLevel="1">
      <c r="B4" s="572" t="s">
        <v>2</v>
      </c>
      <c r="R4" s="573"/>
    </row>
    <row r="5" spans="2:25" outlineLevel="1">
      <c r="B5" s="572"/>
      <c r="R5" s="573"/>
    </row>
    <row r="6" spans="2:25" outlineLevel="1">
      <c r="B6" s="874" t="s">
        <v>3</v>
      </c>
      <c r="R6" s="573"/>
    </row>
    <row r="7" spans="2:25" ht="31.15" customHeight="1" outlineLevel="1">
      <c r="B7" s="934" t="s">
        <v>4</v>
      </c>
      <c r="C7" s="935"/>
      <c r="D7" s="935"/>
      <c r="E7" s="935"/>
      <c r="F7" s="935"/>
      <c r="G7" s="935"/>
      <c r="H7" s="935"/>
      <c r="I7" s="935"/>
      <c r="J7" s="935"/>
      <c r="K7" s="935"/>
      <c r="L7" s="935"/>
      <c r="M7" s="935"/>
      <c r="N7" s="935"/>
      <c r="O7" s="935"/>
      <c r="P7" s="935"/>
      <c r="Q7" s="935"/>
      <c r="R7" s="936"/>
    </row>
    <row r="8" spans="2:25" ht="45" customHeight="1" outlineLevel="1">
      <c r="B8" s="931" t="s">
        <v>5</v>
      </c>
      <c r="C8" s="932"/>
      <c r="D8" s="932"/>
      <c r="E8" s="932"/>
      <c r="F8" s="932"/>
      <c r="G8" s="932"/>
      <c r="H8" s="932"/>
      <c r="I8" s="932"/>
      <c r="J8" s="932"/>
      <c r="K8" s="932"/>
      <c r="L8" s="932"/>
      <c r="M8" s="932"/>
      <c r="N8" s="932"/>
      <c r="O8" s="932"/>
      <c r="P8" s="932"/>
      <c r="Q8" s="932"/>
      <c r="R8" s="933"/>
      <c r="S8" s="788"/>
      <c r="T8" s="788"/>
      <c r="U8" s="788"/>
      <c r="V8" s="788"/>
      <c r="W8" s="788"/>
      <c r="X8" s="788"/>
      <c r="Y8" s="788"/>
    </row>
    <row r="9" spans="2:25" ht="27" customHeight="1" outlineLevel="1">
      <c r="B9" s="931" t="s">
        <v>6</v>
      </c>
      <c r="C9" s="932"/>
      <c r="D9" s="932"/>
      <c r="E9" s="932"/>
      <c r="F9" s="932"/>
      <c r="G9" s="932"/>
      <c r="H9" s="932"/>
      <c r="I9" s="932"/>
      <c r="J9" s="932"/>
      <c r="K9" s="932"/>
      <c r="L9" s="932"/>
      <c r="M9" s="932"/>
      <c r="N9" s="932"/>
      <c r="O9" s="932"/>
      <c r="P9" s="932"/>
      <c r="Q9" s="932"/>
      <c r="R9" s="933"/>
    </row>
    <row r="10" spans="2:25" outlineLevel="1">
      <c r="B10" s="574" t="s">
        <v>7</v>
      </c>
      <c r="R10" s="573"/>
    </row>
    <row r="11" spans="2:25" ht="28.15" customHeight="1" outlineLevel="1">
      <c r="B11" s="934" t="s">
        <v>8</v>
      </c>
      <c r="C11" s="935"/>
      <c r="D11" s="935"/>
      <c r="E11" s="935"/>
      <c r="F11" s="935"/>
      <c r="G11" s="935"/>
      <c r="H11" s="935"/>
      <c r="I11" s="935"/>
      <c r="J11" s="935"/>
      <c r="K11" s="935"/>
      <c r="L11" s="935"/>
      <c r="M11" s="935"/>
      <c r="N11" s="935"/>
      <c r="O11" s="935"/>
      <c r="P11" s="935"/>
      <c r="Q11" s="935"/>
      <c r="R11" s="936"/>
    </row>
    <row r="12" spans="2:25" ht="28.9" customHeight="1" outlineLevel="1">
      <c r="B12" s="946" t="s">
        <v>9</v>
      </c>
      <c r="C12" s="947"/>
      <c r="D12" s="947"/>
      <c r="E12" s="947"/>
      <c r="F12" s="947"/>
      <c r="G12" s="947"/>
      <c r="H12" s="947"/>
      <c r="I12" s="947"/>
      <c r="J12" s="947"/>
      <c r="K12" s="947"/>
      <c r="L12" s="947"/>
      <c r="M12" s="947"/>
      <c r="N12" s="947"/>
      <c r="O12" s="947"/>
      <c r="P12" s="947"/>
      <c r="Q12" s="947"/>
      <c r="R12" s="948"/>
    </row>
    <row r="13" spans="2:25" ht="33.4" customHeight="1" outlineLevel="1">
      <c r="B13" s="934" t="s">
        <v>10</v>
      </c>
      <c r="C13" s="935"/>
      <c r="D13" s="935"/>
      <c r="E13" s="935"/>
      <c r="F13" s="935"/>
      <c r="G13" s="935"/>
      <c r="H13" s="935"/>
      <c r="I13" s="935"/>
      <c r="J13" s="935"/>
      <c r="K13" s="935"/>
      <c r="L13" s="935"/>
      <c r="M13" s="935"/>
      <c r="N13" s="935"/>
      <c r="O13" s="935"/>
      <c r="P13" s="935"/>
      <c r="Q13" s="935"/>
      <c r="R13" s="936"/>
    </row>
    <row r="14" spans="2:25" ht="19.899999999999999" customHeight="1" outlineLevel="1">
      <c r="B14" s="873" t="s">
        <v>11</v>
      </c>
      <c r="C14" s="929"/>
      <c r="D14" s="929"/>
      <c r="E14" s="929"/>
      <c r="F14" s="929"/>
      <c r="G14" s="929"/>
      <c r="H14" s="929"/>
      <c r="I14" s="929"/>
      <c r="J14" s="929"/>
      <c r="K14" s="929"/>
      <c r="L14" s="929"/>
      <c r="M14" s="929"/>
      <c r="N14" s="929"/>
      <c r="O14" s="929"/>
      <c r="P14" s="929"/>
      <c r="Q14" s="929"/>
      <c r="R14" s="930"/>
    </row>
    <row r="15" spans="2:25" outlineLevel="1">
      <c r="B15" s="572" t="s">
        <v>12</v>
      </c>
      <c r="R15" s="573"/>
    </row>
    <row r="16" spans="2:25" outlineLevel="1">
      <c r="B16" s="572"/>
      <c r="R16" s="573"/>
    </row>
    <row r="17" spans="2:18" outlineLevel="1">
      <c r="B17" s="874" t="s">
        <v>13</v>
      </c>
      <c r="R17" s="573"/>
    </row>
    <row r="18" spans="2:18" outlineLevel="1">
      <c r="B18" s="572" t="s">
        <v>14</v>
      </c>
      <c r="R18" s="573"/>
    </row>
    <row r="19" spans="2:18" ht="29.65" customHeight="1" outlineLevel="1">
      <c r="B19" s="934" t="s">
        <v>15</v>
      </c>
      <c r="C19" s="935"/>
      <c r="D19" s="935"/>
      <c r="E19" s="935"/>
      <c r="F19" s="935"/>
      <c r="G19" s="935"/>
      <c r="H19" s="935"/>
      <c r="I19" s="935"/>
      <c r="J19" s="935"/>
      <c r="K19" s="935"/>
      <c r="L19" s="935"/>
      <c r="M19" s="935"/>
      <c r="N19" s="935"/>
      <c r="O19" s="935"/>
      <c r="P19" s="935"/>
      <c r="Q19" s="935"/>
      <c r="R19" s="936"/>
    </row>
    <row r="20" spans="2:18" outlineLevel="1">
      <c r="B20" s="574"/>
      <c r="R20" s="573"/>
    </row>
    <row r="21" spans="2:18" ht="28.5" customHeight="1" outlineLevel="1">
      <c r="B21" s="934" t="s">
        <v>16</v>
      </c>
      <c r="C21" s="935"/>
      <c r="D21" s="935"/>
      <c r="E21" s="935"/>
      <c r="F21" s="935"/>
      <c r="G21" s="935"/>
      <c r="H21" s="935"/>
      <c r="I21" s="935"/>
      <c r="J21" s="935"/>
      <c r="K21" s="935"/>
      <c r="L21" s="935"/>
      <c r="M21" s="935"/>
      <c r="N21" s="935"/>
      <c r="O21" s="935"/>
      <c r="P21" s="935"/>
      <c r="Q21" s="935"/>
      <c r="R21" s="936"/>
    </row>
    <row r="22" spans="2:18" ht="28.5" customHeight="1" outlineLevel="1">
      <c r="B22" s="934" t="s">
        <v>17</v>
      </c>
      <c r="C22" s="935"/>
      <c r="D22" s="935"/>
      <c r="E22" s="935"/>
      <c r="F22" s="935"/>
      <c r="G22" s="935"/>
      <c r="H22" s="935"/>
      <c r="I22" s="935"/>
      <c r="J22" s="935"/>
      <c r="K22" s="935"/>
      <c r="L22" s="935"/>
      <c r="M22" s="935"/>
      <c r="N22" s="935"/>
      <c r="O22" s="935"/>
      <c r="P22" s="935"/>
      <c r="Q22" s="935"/>
      <c r="R22" s="936"/>
    </row>
    <row r="23" spans="2:18" ht="28.5" customHeight="1" outlineLevel="1">
      <c r="B23" s="943" t="s">
        <v>18</v>
      </c>
      <c r="C23" s="944"/>
      <c r="D23" s="944"/>
      <c r="E23" s="944"/>
      <c r="F23" s="944"/>
      <c r="G23" s="944"/>
      <c r="H23" s="944"/>
      <c r="I23" s="944"/>
      <c r="J23" s="944"/>
      <c r="K23" s="944"/>
      <c r="L23" s="944"/>
      <c r="M23" s="944"/>
      <c r="N23" s="944"/>
      <c r="O23" s="944"/>
      <c r="P23" s="944"/>
      <c r="Q23" s="944"/>
      <c r="R23" s="945"/>
    </row>
    <row r="24" spans="2:18" outlineLevel="1">
      <c r="B24" s="575"/>
      <c r="C24" s="576"/>
      <c r="D24" s="576"/>
      <c r="E24" s="576"/>
      <c r="F24" s="576"/>
      <c r="G24" s="576"/>
      <c r="H24" s="576"/>
      <c r="I24" s="576"/>
      <c r="J24" s="576"/>
      <c r="K24" s="576"/>
      <c r="L24" s="576"/>
      <c r="M24" s="576"/>
      <c r="N24" s="576"/>
      <c r="O24" s="576"/>
      <c r="P24" s="576"/>
      <c r="Q24" s="576"/>
      <c r="R24" s="577"/>
    </row>
    <row r="26" spans="2:18" ht="15.6">
      <c r="B26" s="568" t="s">
        <v>19</v>
      </c>
      <c r="C26" s="569"/>
      <c r="D26" s="569"/>
      <c r="E26" s="569"/>
      <c r="F26" s="569"/>
      <c r="G26" s="569"/>
      <c r="H26" s="569"/>
      <c r="I26" s="569"/>
      <c r="J26" s="569"/>
      <c r="K26" s="569"/>
      <c r="L26" s="569"/>
      <c r="M26" s="569"/>
      <c r="N26" s="569"/>
      <c r="O26" s="569"/>
      <c r="P26" s="569"/>
      <c r="Q26" s="569"/>
      <c r="R26" s="570"/>
    </row>
    <row r="27" spans="2:18" outlineLevel="1">
      <c r="B27" s="574" t="s">
        <v>20</v>
      </c>
      <c r="R27" s="573"/>
    </row>
    <row r="28" spans="2:18" outlineLevel="1">
      <c r="B28" s="578" t="s">
        <v>21</v>
      </c>
      <c r="R28" s="573"/>
    </row>
    <row r="29" spans="2:18" ht="27" customHeight="1" outlineLevel="1">
      <c r="B29" s="942" t="s">
        <v>22</v>
      </c>
      <c r="C29" s="940"/>
      <c r="D29" s="940"/>
      <c r="E29" s="940"/>
      <c r="F29" s="940"/>
      <c r="G29" s="940"/>
      <c r="H29" s="940"/>
      <c r="I29" s="940"/>
      <c r="J29" s="940"/>
      <c r="K29" s="940"/>
      <c r="L29" s="940"/>
      <c r="M29" s="940"/>
      <c r="N29" s="940"/>
      <c r="O29" s="940"/>
      <c r="P29" s="940"/>
      <c r="Q29" s="940"/>
      <c r="R29" s="941"/>
    </row>
    <row r="30" spans="2:18" outlineLevel="1">
      <c r="B30" s="578" t="s">
        <v>23</v>
      </c>
      <c r="R30" s="573"/>
    </row>
    <row r="31" spans="2:18" outlineLevel="1">
      <c r="B31" s="578" t="s">
        <v>24</v>
      </c>
      <c r="R31" s="573"/>
    </row>
    <row r="32" spans="2:18" ht="27.4" customHeight="1" outlineLevel="1">
      <c r="B32" s="931" t="s">
        <v>25</v>
      </c>
      <c r="C32" s="932"/>
      <c r="D32" s="932"/>
      <c r="E32" s="932"/>
      <c r="F32" s="932"/>
      <c r="G32" s="932"/>
      <c r="H32" s="932"/>
      <c r="I32" s="932"/>
      <c r="J32" s="932"/>
      <c r="K32" s="932"/>
      <c r="L32" s="932"/>
      <c r="M32" s="932"/>
      <c r="N32" s="932"/>
      <c r="O32" s="932"/>
      <c r="P32" s="932"/>
      <c r="Q32" s="932"/>
      <c r="R32" s="933"/>
    </row>
    <row r="33" spans="2:18" outlineLevel="1">
      <c r="B33" s="574"/>
      <c r="R33" s="573"/>
    </row>
    <row r="34" spans="2:18" outlineLevel="1">
      <c r="B34" s="579" t="s">
        <v>26</v>
      </c>
      <c r="R34" s="573"/>
    </row>
    <row r="35" spans="2:18" outlineLevel="1">
      <c r="B35" s="574" t="s">
        <v>27</v>
      </c>
      <c r="R35" s="573"/>
    </row>
    <row r="36" spans="2:18" outlineLevel="1">
      <c r="B36" s="574" t="s">
        <v>28</v>
      </c>
      <c r="R36" s="573"/>
    </row>
    <row r="37" spans="2:18" ht="26.65" customHeight="1" outlineLevel="1">
      <c r="B37" s="931" t="s">
        <v>29</v>
      </c>
      <c r="C37" s="932"/>
      <c r="D37" s="932"/>
      <c r="E37" s="932"/>
      <c r="F37" s="932"/>
      <c r="G37" s="932"/>
      <c r="H37" s="932"/>
      <c r="I37" s="932"/>
      <c r="J37" s="932"/>
      <c r="K37" s="932"/>
      <c r="L37" s="932"/>
      <c r="M37" s="932"/>
      <c r="N37" s="932"/>
      <c r="O37" s="932"/>
      <c r="P37" s="932"/>
      <c r="Q37" s="932"/>
      <c r="R37" s="933"/>
    </row>
    <row r="38" spans="2:18" outlineLevel="1">
      <c r="B38" s="574"/>
      <c r="R38" s="573"/>
    </row>
    <row r="39" spans="2:18" outlineLevel="1">
      <c r="B39" s="579" t="s">
        <v>30</v>
      </c>
      <c r="R39" s="573"/>
    </row>
    <row r="40" spans="2:18" outlineLevel="1">
      <c r="B40" s="574" t="s">
        <v>31</v>
      </c>
      <c r="R40" s="573"/>
    </row>
    <row r="41" spans="2:18" outlineLevel="1">
      <c r="B41" s="574" t="s">
        <v>28</v>
      </c>
      <c r="R41" s="573"/>
    </row>
    <row r="42" spans="2:18" outlineLevel="1">
      <c r="B42" s="574" t="s">
        <v>32</v>
      </c>
      <c r="R42" s="573"/>
    </row>
    <row r="43" spans="2:18" ht="28.5" customHeight="1" outlineLevel="1">
      <c r="B43" s="931" t="s">
        <v>33</v>
      </c>
      <c r="C43" s="932"/>
      <c r="D43" s="932"/>
      <c r="E43" s="932"/>
      <c r="F43" s="932"/>
      <c r="G43" s="932"/>
      <c r="H43" s="932"/>
      <c r="I43" s="932"/>
      <c r="J43" s="932"/>
      <c r="K43" s="932"/>
      <c r="L43" s="932"/>
      <c r="M43" s="932"/>
      <c r="N43" s="932"/>
      <c r="O43" s="932"/>
      <c r="P43" s="932"/>
      <c r="Q43" s="932"/>
      <c r="R43" s="933"/>
    </row>
    <row r="44" spans="2:18" outlineLevel="1">
      <c r="B44" s="574" t="s">
        <v>34</v>
      </c>
      <c r="R44" s="573"/>
    </row>
    <row r="45" spans="2:18" outlineLevel="1">
      <c r="B45" s="574"/>
      <c r="R45" s="573"/>
    </row>
    <row r="46" spans="2:18" outlineLevel="1">
      <c r="B46" s="579" t="s">
        <v>35</v>
      </c>
      <c r="R46" s="573"/>
    </row>
    <row r="47" spans="2:18" outlineLevel="1">
      <c r="B47" s="574" t="s">
        <v>36</v>
      </c>
      <c r="R47" s="573"/>
    </row>
    <row r="48" spans="2:18" ht="28.15" customHeight="1" outlineLevel="1">
      <c r="B48" s="931" t="s">
        <v>37</v>
      </c>
      <c r="C48" s="932"/>
      <c r="D48" s="932"/>
      <c r="E48" s="932"/>
      <c r="F48" s="932"/>
      <c r="G48" s="932"/>
      <c r="H48" s="932"/>
      <c r="I48" s="932"/>
      <c r="J48" s="932"/>
      <c r="K48" s="932"/>
      <c r="L48" s="932"/>
      <c r="M48" s="932"/>
      <c r="N48" s="932"/>
      <c r="O48" s="932"/>
      <c r="P48" s="932"/>
      <c r="Q48" s="932"/>
      <c r="R48" s="933"/>
    </row>
    <row r="49" spans="1:18" outlineLevel="1">
      <c r="B49" s="574" t="s">
        <v>38</v>
      </c>
      <c r="R49" s="573"/>
    </row>
    <row r="50" spans="1:18" ht="28.9" customHeight="1" outlineLevel="1">
      <c r="B50" s="931" t="s">
        <v>39</v>
      </c>
      <c r="C50" s="932"/>
      <c r="D50" s="932"/>
      <c r="E50" s="932"/>
      <c r="F50" s="932"/>
      <c r="G50" s="932"/>
      <c r="H50" s="932"/>
      <c r="I50" s="932"/>
      <c r="J50" s="932"/>
      <c r="K50" s="932"/>
      <c r="L50" s="932"/>
      <c r="M50" s="932"/>
      <c r="N50" s="932"/>
      <c r="O50" s="932"/>
      <c r="P50" s="932"/>
      <c r="Q50" s="932"/>
      <c r="R50" s="933"/>
    </row>
    <row r="51" spans="1:18" outlineLevel="1">
      <c r="B51" s="574" t="s">
        <v>34</v>
      </c>
      <c r="R51" s="573"/>
    </row>
    <row r="52" spans="1:18" outlineLevel="1">
      <c r="B52" s="574"/>
      <c r="R52" s="573"/>
    </row>
    <row r="53" spans="1:18" outlineLevel="1">
      <c r="B53" s="579" t="s">
        <v>40</v>
      </c>
      <c r="R53" s="573"/>
    </row>
    <row r="54" spans="1:18" outlineLevel="1">
      <c r="B54" s="574" t="s">
        <v>41</v>
      </c>
      <c r="R54" s="573"/>
    </row>
    <row r="55" spans="1:18" ht="29.65" customHeight="1" outlineLevel="1">
      <c r="B55" s="931" t="s">
        <v>42</v>
      </c>
      <c r="C55" s="932"/>
      <c r="D55" s="932"/>
      <c r="E55" s="932"/>
      <c r="F55" s="932"/>
      <c r="G55" s="932"/>
      <c r="H55" s="932"/>
      <c r="I55" s="932"/>
      <c r="J55" s="932"/>
      <c r="K55" s="932"/>
      <c r="L55" s="932"/>
      <c r="M55" s="932"/>
      <c r="N55" s="932"/>
      <c r="O55" s="932"/>
      <c r="P55" s="932"/>
      <c r="Q55" s="932"/>
      <c r="R55" s="933"/>
    </row>
    <row r="56" spans="1:18" outlineLevel="1">
      <c r="B56" s="574" t="s">
        <v>43</v>
      </c>
      <c r="R56" s="573"/>
    </row>
    <row r="57" spans="1:18" ht="28.5" customHeight="1" outlineLevel="1">
      <c r="B57" s="931" t="s">
        <v>39</v>
      </c>
      <c r="C57" s="932"/>
      <c r="D57" s="932"/>
      <c r="E57" s="932"/>
      <c r="F57" s="932"/>
      <c r="G57" s="932"/>
      <c r="H57" s="932"/>
      <c r="I57" s="932"/>
      <c r="J57" s="932"/>
      <c r="K57" s="932"/>
      <c r="L57" s="932"/>
      <c r="M57" s="932"/>
      <c r="N57" s="932"/>
      <c r="O57" s="932"/>
      <c r="P57" s="932"/>
      <c r="Q57" s="932"/>
      <c r="R57" s="933"/>
    </row>
    <row r="58" spans="1:18" outlineLevel="1">
      <c r="B58" s="574" t="s">
        <v>34</v>
      </c>
      <c r="R58" s="573"/>
    </row>
    <row r="59" spans="1:18" outlineLevel="1">
      <c r="B59" s="575"/>
      <c r="C59" s="576"/>
      <c r="D59" s="576"/>
      <c r="E59" s="576"/>
      <c r="F59" s="576"/>
      <c r="G59" s="576"/>
      <c r="H59" s="576"/>
      <c r="I59" s="576"/>
      <c r="J59" s="576"/>
      <c r="K59" s="576"/>
      <c r="L59" s="576"/>
      <c r="M59" s="576"/>
      <c r="N59" s="576"/>
      <c r="O59" s="576"/>
      <c r="P59" s="576"/>
      <c r="Q59" s="576"/>
      <c r="R59" s="577"/>
    </row>
    <row r="61" spans="1:18" ht="15.6">
      <c r="B61" s="568" t="s">
        <v>44</v>
      </c>
      <c r="C61" s="569"/>
      <c r="D61" s="569"/>
      <c r="E61" s="569"/>
      <c r="F61" s="569"/>
      <c r="G61" s="569"/>
      <c r="H61" s="569"/>
      <c r="I61" s="569"/>
      <c r="J61" s="569"/>
      <c r="K61" s="569"/>
      <c r="L61" s="569"/>
      <c r="M61" s="569"/>
      <c r="N61" s="569"/>
      <c r="O61" s="569"/>
      <c r="P61" s="569"/>
      <c r="Q61" s="569"/>
      <c r="R61" s="570"/>
    </row>
    <row r="62" spans="1:18" ht="30" customHeight="1" outlineLevel="1">
      <c r="A62" s="580">
        <v>1</v>
      </c>
      <c r="B62" s="931" t="s">
        <v>45</v>
      </c>
      <c r="C62" s="932"/>
      <c r="D62" s="932"/>
      <c r="E62" s="932"/>
      <c r="F62" s="932"/>
      <c r="G62" s="932"/>
      <c r="H62" s="932"/>
      <c r="I62" s="932"/>
      <c r="J62" s="932"/>
      <c r="K62" s="932"/>
      <c r="L62" s="932"/>
      <c r="M62" s="932"/>
      <c r="N62" s="932"/>
      <c r="O62" s="932"/>
      <c r="P62" s="932"/>
      <c r="Q62" s="932"/>
      <c r="R62" s="933"/>
    </row>
    <row r="63" spans="1:18" ht="10.15" customHeight="1" outlineLevel="1">
      <c r="A63" s="580"/>
      <c r="B63" s="574"/>
      <c r="R63" s="573"/>
    </row>
    <row r="64" spans="1:18" outlineLevel="1">
      <c r="A64" s="580">
        <v>2</v>
      </c>
      <c r="B64" s="574" t="s">
        <v>46</v>
      </c>
      <c r="R64" s="573"/>
    </row>
    <row r="65" spans="1:18" outlineLevel="1">
      <c r="A65" s="580"/>
      <c r="B65" s="574" t="s">
        <v>47</v>
      </c>
      <c r="R65" s="573"/>
    </row>
    <row r="66" spans="1:18" outlineLevel="1">
      <c r="A66" s="580"/>
      <c r="B66" s="574" t="s">
        <v>48</v>
      </c>
      <c r="R66" s="573"/>
    </row>
    <row r="67" spans="1:18" outlineLevel="1">
      <c r="A67" s="580"/>
      <c r="B67" s="574" t="s">
        <v>49</v>
      </c>
      <c r="R67" s="573"/>
    </row>
    <row r="68" spans="1:18" outlineLevel="1">
      <c r="A68" s="580"/>
      <c r="B68" s="574" t="s">
        <v>50</v>
      </c>
      <c r="R68" s="573"/>
    </row>
    <row r="69" spans="1:18" ht="27.4" customHeight="1" outlineLevel="1">
      <c r="A69" s="580"/>
      <c r="B69" s="931" t="s">
        <v>51</v>
      </c>
      <c r="C69" s="932"/>
      <c r="D69" s="932"/>
      <c r="E69" s="932"/>
      <c r="F69" s="932"/>
      <c r="G69" s="932"/>
      <c r="H69" s="932"/>
      <c r="I69" s="932"/>
      <c r="J69" s="932"/>
      <c r="K69" s="932"/>
      <c r="L69" s="932"/>
      <c r="M69" s="932"/>
      <c r="N69" s="932"/>
      <c r="O69" s="932"/>
      <c r="P69" s="932"/>
      <c r="Q69" s="932"/>
      <c r="R69" s="933"/>
    </row>
    <row r="70" spans="1:18" ht="7.5" customHeight="1" outlineLevel="1">
      <c r="A70" s="580"/>
      <c r="B70" s="574"/>
      <c r="R70" s="573"/>
    </row>
    <row r="71" spans="1:18" ht="28.5" customHeight="1" outlineLevel="1">
      <c r="A71" s="580">
        <v>3</v>
      </c>
      <c r="B71" s="931" t="s">
        <v>52</v>
      </c>
      <c r="C71" s="932"/>
      <c r="D71" s="932"/>
      <c r="E71" s="932"/>
      <c r="F71" s="932"/>
      <c r="G71" s="932"/>
      <c r="H71" s="932"/>
      <c r="I71" s="932"/>
      <c r="J71" s="932"/>
      <c r="K71" s="932"/>
      <c r="L71" s="932"/>
      <c r="M71" s="932"/>
      <c r="N71" s="932"/>
      <c r="O71" s="932"/>
      <c r="P71" s="932"/>
      <c r="Q71" s="932"/>
      <c r="R71" s="933"/>
    </row>
    <row r="72" spans="1:18" outlineLevel="1">
      <c r="A72" s="580"/>
      <c r="B72" s="574" t="s">
        <v>53</v>
      </c>
      <c r="R72" s="573"/>
    </row>
    <row r="73" spans="1:18" ht="72.599999999999994" customHeight="1" outlineLevel="1">
      <c r="A73" s="580"/>
      <c r="B73" s="931" t="s">
        <v>54</v>
      </c>
      <c r="C73" s="932"/>
      <c r="D73" s="932"/>
      <c r="E73" s="932"/>
      <c r="F73" s="932"/>
      <c r="G73" s="932"/>
      <c r="H73" s="932"/>
      <c r="I73" s="932"/>
      <c r="J73" s="932"/>
      <c r="K73" s="932"/>
      <c r="L73" s="932"/>
      <c r="M73" s="932"/>
      <c r="N73" s="932"/>
      <c r="O73" s="932"/>
      <c r="P73" s="932"/>
      <c r="Q73" s="932"/>
      <c r="R73" s="933"/>
    </row>
    <row r="74" spans="1:18" ht="30" customHeight="1" outlineLevel="1">
      <c r="A74" s="580"/>
      <c r="B74" s="931" t="s">
        <v>55</v>
      </c>
      <c r="C74" s="932"/>
      <c r="D74" s="932"/>
      <c r="E74" s="932"/>
      <c r="F74" s="932"/>
      <c r="G74" s="932"/>
      <c r="H74" s="932"/>
      <c r="I74" s="932"/>
      <c r="J74" s="932"/>
      <c r="K74" s="932"/>
      <c r="L74" s="932"/>
      <c r="M74" s="932"/>
      <c r="N74" s="932"/>
      <c r="O74" s="932"/>
      <c r="P74" s="932"/>
      <c r="Q74" s="932"/>
      <c r="R74" s="933"/>
    </row>
    <row r="75" spans="1:18" ht="7.9" customHeight="1" outlineLevel="1">
      <c r="A75" s="580"/>
      <c r="B75" s="574"/>
      <c r="R75" s="573"/>
    </row>
    <row r="76" spans="1:18" ht="27.4" customHeight="1" outlineLevel="1">
      <c r="A76" s="580">
        <v>4</v>
      </c>
      <c r="B76" s="931" t="s">
        <v>56</v>
      </c>
      <c r="C76" s="932"/>
      <c r="D76" s="932"/>
      <c r="E76" s="932"/>
      <c r="F76" s="932"/>
      <c r="G76" s="932"/>
      <c r="H76" s="932"/>
      <c r="I76" s="932"/>
      <c r="J76" s="932"/>
      <c r="K76" s="932"/>
      <c r="L76" s="932"/>
      <c r="M76" s="932"/>
      <c r="N76" s="932"/>
      <c r="O76" s="932"/>
      <c r="P76" s="932"/>
      <c r="Q76" s="932"/>
      <c r="R76" s="933"/>
    </row>
    <row r="77" spans="1:18" outlineLevel="1">
      <c r="A77" s="580"/>
      <c r="B77" s="574" t="s">
        <v>57</v>
      </c>
      <c r="R77" s="573"/>
    </row>
    <row r="78" spans="1:18" outlineLevel="1">
      <c r="A78" s="580"/>
      <c r="B78" s="574" t="s">
        <v>58</v>
      </c>
      <c r="R78" s="573"/>
    </row>
    <row r="79" spans="1:18" outlineLevel="1">
      <c r="A79" s="580"/>
      <c r="B79" s="574" t="s">
        <v>59</v>
      </c>
      <c r="R79" s="573"/>
    </row>
    <row r="80" spans="1:18" outlineLevel="1">
      <c r="A80" s="580"/>
      <c r="B80" s="574" t="s">
        <v>60</v>
      </c>
      <c r="R80" s="573"/>
    </row>
    <row r="81" spans="1:18" outlineLevel="1">
      <c r="A81" s="580"/>
      <c r="B81" s="574" t="s">
        <v>61</v>
      </c>
      <c r="R81" s="573"/>
    </row>
    <row r="82" spans="1:18" outlineLevel="1">
      <c r="A82" s="580"/>
      <c r="B82" s="574" t="s">
        <v>62</v>
      </c>
      <c r="R82" s="573"/>
    </row>
    <row r="83" spans="1:18" ht="29.65" customHeight="1" outlineLevel="1">
      <c r="A83" s="580"/>
      <c r="B83" s="574"/>
      <c r="C83" s="932" t="s">
        <v>63</v>
      </c>
      <c r="D83" s="932"/>
      <c r="E83" s="932"/>
      <c r="F83" s="932"/>
      <c r="G83" s="932"/>
      <c r="H83" s="932"/>
      <c r="I83" s="932"/>
      <c r="J83" s="932"/>
      <c r="K83" s="932"/>
      <c r="L83" s="932"/>
      <c r="M83" s="932"/>
      <c r="N83" s="932"/>
      <c r="O83" s="932"/>
      <c r="P83" s="932"/>
      <c r="Q83" s="932"/>
      <c r="R83" s="933"/>
    </row>
    <row r="84" spans="1:18" ht="60.4" customHeight="1" outlineLevel="1">
      <c r="A84" s="580"/>
      <c r="B84" s="574"/>
      <c r="C84" s="932" t="s">
        <v>64</v>
      </c>
      <c r="D84" s="932"/>
      <c r="E84" s="932"/>
      <c r="F84" s="932"/>
      <c r="G84" s="932"/>
      <c r="H84" s="932"/>
      <c r="I84" s="932"/>
      <c r="J84" s="932"/>
      <c r="K84" s="932"/>
      <c r="L84" s="932"/>
      <c r="M84" s="932"/>
      <c r="N84" s="932"/>
      <c r="O84" s="932"/>
      <c r="P84" s="932"/>
      <c r="Q84" s="932"/>
      <c r="R84" s="933"/>
    </row>
    <row r="85" spans="1:18" ht="18.399999999999999" customHeight="1" outlineLevel="1">
      <c r="A85" s="580"/>
      <c r="B85" s="574"/>
      <c r="C85" s="9" t="s">
        <v>65</v>
      </c>
      <c r="R85" s="573"/>
    </row>
    <row r="86" spans="1:18" ht="20.65" customHeight="1" outlineLevel="1">
      <c r="A86" s="580"/>
      <c r="B86" s="574"/>
      <c r="R86" s="573"/>
    </row>
    <row r="87" spans="1:18" ht="14.65" customHeight="1" outlineLevel="1">
      <c r="A87" s="580"/>
      <c r="B87" s="581" t="s">
        <v>66</v>
      </c>
      <c r="R87" s="573"/>
    </row>
    <row r="88" spans="1:18" outlineLevel="1">
      <c r="A88" s="580" t="s">
        <v>67</v>
      </c>
      <c r="B88" s="574" t="s">
        <v>68</v>
      </c>
      <c r="R88" s="573"/>
    </row>
    <row r="89" spans="1:18" outlineLevel="1">
      <c r="A89" s="580"/>
      <c r="B89" s="574" t="s">
        <v>69</v>
      </c>
      <c r="R89" s="573"/>
    </row>
    <row r="90" spans="1:18" ht="10.15" customHeight="1" outlineLevel="1">
      <c r="A90" s="580"/>
      <c r="B90" s="574"/>
      <c r="R90" s="573"/>
    </row>
    <row r="91" spans="1:18" ht="28.9" customHeight="1" outlineLevel="1">
      <c r="A91" s="580">
        <v>6</v>
      </c>
      <c r="B91" s="931" t="s">
        <v>70</v>
      </c>
      <c r="C91" s="932"/>
      <c r="D91" s="932"/>
      <c r="E91" s="932"/>
      <c r="F91" s="932"/>
      <c r="G91" s="932"/>
      <c r="H91" s="932"/>
      <c r="I91" s="932"/>
      <c r="J91" s="932"/>
      <c r="K91" s="932"/>
      <c r="L91" s="932"/>
      <c r="M91" s="932"/>
      <c r="N91" s="932"/>
      <c r="O91" s="932"/>
      <c r="P91" s="932"/>
      <c r="Q91" s="932"/>
      <c r="R91" s="933"/>
    </row>
    <row r="92" spans="1:18" outlineLevel="1">
      <c r="A92" s="580"/>
      <c r="B92" s="574" t="s">
        <v>71</v>
      </c>
      <c r="R92" s="573"/>
    </row>
    <row r="93" spans="1:18" outlineLevel="1">
      <c r="A93" s="580"/>
      <c r="B93" s="574" t="s">
        <v>72</v>
      </c>
      <c r="R93" s="573"/>
    </row>
    <row r="94" spans="1:18" outlineLevel="1">
      <c r="A94" s="580"/>
      <c r="B94" s="574" t="s">
        <v>73</v>
      </c>
      <c r="R94" s="573"/>
    </row>
    <row r="95" spans="1:18" outlineLevel="1">
      <c r="A95" s="580"/>
      <c r="B95" s="574" t="s">
        <v>74</v>
      </c>
      <c r="R95" s="573"/>
    </row>
    <row r="96" spans="1:18" outlineLevel="1">
      <c r="A96" s="580"/>
      <c r="B96" s="574" t="s">
        <v>75</v>
      </c>
      <c r="R96" s="573"/>
    </row>
    <row r="97" spans="1:18" ht="28.9" customHeight="1" outlineLevel="1">
      <c r="A97" s="580"/>
      <c r="B97" s="931" t="s">
        <v>76</v>
      </c>
      <c r="C97" s="932"/>
      <c r="D97" s="932"/>
      <c r="E97" s="932"/>
      <c r="F97" s="932"/>
      <c r="G97" s="932"/>
      <c r="H97" s="932"/>
      <c r="I97" s="932"/>
      <c r="J97" s="932"/>
      <c r="K97" s="932"/>
      <c r="L97" s="932"/>
      <c r="M97" s="932"/>
      <c r="N97" s="932"/>
      <c r="O97" s="932"/>
      <c r="P97" s="932"/>
      <c r="Q97" s="932"/>
      <c r="R97" s="933"/>
    </row>
    <row r="98" spans="1:18" ht="28.9" customHeight="1" outlineLevel="1">
      <c r="A98" s="580"/>
      <c r="B98" s="931" t="s">
        <v>77</v>
      </c>
      <c r="C98" s="932"/>
      <c r="D98" s="932"/>
      <c r="E98" s="932"/>
      <c r="F98" s="932"/>
      <c r="G98" s="932"/>
      <c r="H98" s="932"/>
      <c r="I98" s="932"/>
      <c r="J98" s="932"/>
      <c r="K98" s="932"/>
      <c r="L98" s="932"/>
      <c r="M98" s="932"/>
      <c r="N98" s="932"/>
      <c r="O98" s="932"/>
      <c r="P98" s="932"/>
      <c r="Q98" s="932"/>
      <c r="R98" s="933"/>
    </row>
    <row r="99" spans="1:18" ht="16.149999999999999" customHeight="1" outlineLevel="1">
      <c r="A99" s="580"/>
      <c r="B99" s="931" t="s">
        <v>78</v>
      </c>
      <c r="C99" s="932"/>
      <c r="D99" s="932"/>
      <c r="E99" s="932"/>
      <c r="F99" s="932"/>
      <c r="G99" s="932"/>
      <c r="H99" s="932"/>
      <c r="I99" s="932"/>
      <c r="J99" s="932"/>
      <c r="K99" s="932"/>
      <c r="L99" s="932"/>
      <c r="M99" s="932"/>
      <c r="N99" s="932"/>
      <c r="O99" s="932"/>
      <c r="P99" s="932"/>
      <c r="Q99" s="932"/>
      <c r="R99" s="933"/>
    </row>
    <row r="100" spans="1:18" ht="16.149999999999999" customHeight="1" outlineLevel="1">
      <c r="A100" s="580"/>
      <c r="B100" s="820"/>
      <c r="C100" s="940" t="s">
        <v>79</v>
      </c>
      <c r="D100" s="940"/>
      <c r="E100" s="940"/>
      <c r="F100" s="940"/>
      <c r="G100" s="940"/>
      <c r="H100" s="940"/>
      <c r="I100" s="940"/>
      <c r="J100" s="940"/>
      <c r="K100" s="940"/>
      <c r="L100" s="940"/>
      <c r="M100" s="940"/>
      <c r="N100" s="940"/>
      <c r="O100" s="940"/>
      <c r="P100" s="940"/>
      <c r="Q100" s="940"/>
      <c r="R100" s="941"/>
    </row>
    <row r="101" spans="1:18" ht="16.149999999999999" customHeight="1" outlineLevel="1">
      <c r="A101" s="580"/>
      <c r="B101" s="820"/>
      <c r="C101" s="940" t="s">
        <v>80</v>
      </c>
      <c r="D101" s="940"/>
      <c r="E101" s="940"/>
      <c r="F101" s="940"/>
      <c r="G101" s="940"/>
      <c r="H101" s="940"/>
      <c r="I101" s="940"/>
      <c r="J101" s="940"/>
      <c r="K101" s="940"/>
      <c r="L101" s="940"/>
      <c r="M101" s="940"/>
      <c r="N101" s="940"/>
      <c r="O101" s="940"/>
      <c r="P101" s="940"/>
      <c r="Q101" s="940"/>
      <c r="R101" s="941"/>
    </row>
    <row r="102" spans="1:18" ht="10.15" customHeight="1" outlineLevel="1">
      <c r="A102" s="580"/>
      <c r="B102" s="574"/>
      <c r="R102" s="573"/>
    </row>
    <row r="103" spans="1:18" outlineLevel="1">
      <c r="A103" s="580">
        <v>7</v>
      </c>
      <c r="B103" s="574" t="s">
        <v>81</v>
      </c>
      <c r="R103" s="573"/>
    </row>
    <row r="104" spans="1:18" ht="28.5" customHeight="1" outlineLevel="1">
      <c r="A104" s="580"/>
      <c r="B104" s="931" t="s">
        <v>82</v>
      </c>
      <c r="C104" s="932"/>
      <c r="D104" s="932"/>
      <c r="E104" s="932"/>
      <c r="F104" s="932"/>
      <c r="G104" s="932"/>
      <c r="H104" s="932"/>
      <c r="I104" s="932"/>
      <c r="J104" s="932"/>
      <c r="K104" s="932"/>
      <c r="L104" s="932"/>
      <c r="M104" s="932"/>
      <c r="N104" s="932"/>
      <c r="O104" s="932"/>
      <c r="P104" s="932"/>
      <c r="Q104" s="932"/>
      <c r="R104" s="933"/>
    </row>
    <row r="105" spans="1:18" ht="28.9" customHeight="1" outlineLevel="1">
      <c r="A105" s="580"/>
      <c r="B105" s="931" t="s">
        <v>83</v>
      </c>
      <c r="C105" s="932"/>
      <c r="D105" s="932"/>
      <c r="E105" s="932"/>
      <c r="F105" s="932"/>
      <c r="G105" s="932"/>
      <c r="H105" s="932"/>
      <c r="I105" s="932"/>
      <c r="J105" s="932"/>
      <c r="K105" s="932"/>
      <c r="L105" s="932"/>
      <c r="M105" s="932"/>
      <c r="N105" s="932"/>
      <c r="O105" s="932"/>
      <c r="P105" s="932"/>
      <c r="Q105" s="932"/>
      <c r="R105" s="933"/>
    </row>
    <row r="106" spans="1:18" ht="10.15" customHeight="1" outlineLevel="1">
      <c r="A106" s="580"/>
      <c r="B106" s="820"/>
      <c r="C106" s="788"/>
      <c r="D106" s="788"/>
      <c r="E106" s="788"/>
      <c r="F106" s="788"/>
      <c r="G106" s="788"/>
      <c r="H106" s="788"/>
      <c r="I106" s="788"/>
      <c r="J106" s="788"/>
      <c r="K106" s="788"/>
      <c r="L106" s="788"/>
      <c r="M106" s="788"/>
      <c r="N106" s="788"/>
      <c r="O106" s="788"/>
      <c r="P106" s="788"/>
      <c r="Q106" s="788"/>
      <c r="R106" s="821"/>
    </row>
    <row r="107" spans="1:18" ht="18.399999999999999" customHeight="1" outlineLevel="1">
      <c r="A107" s="580"/>
      <c r="B107" s="841" t="s">
        <v>84</v>
      </c>
      <c r="C107" s="788"/>
      <c r="D107" s="788"/>
      <c r="E107" s="788"/>
      <c r="F107" s="788"/>
      <c r="G107" s="788"/>
      <c r="H107" s="788"/>
      <c r="I107" s="788"/>
      <c r="J107" s="788"/>
      <c r="K107" s="788"/>
      <c r="L107" s="788"/>
      <c r="M107" s="788"/>
      <c r="N107" s="788"/>
      <c r="O107" s="788"/>
      <c r="P107" s="788"/>
      <c r="Q107" s="788"/>
      <c r="R107" s="821"/>
    </row>
    <row r="108" spans="1:18" outlineLevel="1">
      <c r="A108" s="580"/>
      <c r="B108" s="572" t="s">
        <v>85</v>
      </c>
      <c r="C108" s="788"/>
      <c r="D108" s="788"/>
      <c r="E108" s="788"/>
      <c r="F108" s="788"/>
      <c r="G108" s="788"/>
      <c r="H108" s="788"/>
      <c r="I108" s="788"/>
      <c r="J108" s="788"/>
      <c r="K108" s="788"/>
      <c r="L108" s="788"/>
      <c r="M108" s="788"/>
      <c r="N108" s="788"/>
      <c r="O108" s="788"/>
      <c r="P108" s="788"/>
      <c r="Q108" s="788"/>
      <c r="R108" s="821"/>
    </row>
    <row r="109" spans="1:18" ht="43.5" customHeight="1" outlineLevel="1">
      <c r="A109" s="580"/>
      <c r="B109" s="934" t="s">
        <v>86</v>
      </c>
      <c r="C109" s="935"/>
      <c r="D109" s="935"/>
      <c r="E109" s="935"/>
      <c r="F109" s="935"/>
      <c r="G109" s="935"/>
      <c r="H109" s="935"/>
      <c r="I109" s="935"/>
      <c r="J109" s="935"/>
      <c r="K109" s="935"/>
      <c r="L109" s="935"/>
      <c r="M109" s="935"/>
      <c r="N109" s="935"/>
      <c r="O109" s="935"/>
      <c r="P109" s="935"/>
      <c r="Q109" s="935"/>
      <c r="R109" s="936"/>
    </row>
    <row r="110" spans="1:18" ht="16.899999999999999" customHeight="1" outlineLevel="1">
      <c r="A110" s="580"/>
      <c r="B110" s="937" t="s">
        <v>87</v>
      </c>
      <c r="C110" s="938"/>
      <c r="D110" s="938"/>
      <c r="E110" s="938"/>
      <c r="F110" s="938"/>
      <c r="G110" s="938"/>
      <c r="H110" s="938"/>
      <c r="I110" s="938"/>
      <c r="J110" s="938"/>
      <c r="K110" s="938"/>
      <c r="L110" s="938"/>
      <c r="M110" s="938"/>
      <c r="N110" s="938"/>
      <c r="O110" s="938"/>
      <c r="P110" s="938"/>
      <c r="Q110" s="938"/>
      <c r="R110" s="939"/>
    </row>
    <row r="111" spans="1:18" ht="33" customHeight="1" outlineLevel="1">
      <c r="A111" s="580"/>
      <c r="B111" s="934" t="s">
        <v>88</v>
      </c>
      <c r="C111" s="935"/>
      <c r="D111" s="935"/>
      <c r="E111" s="935"/>
      <c r="F111" s="935"/>
      <c r="G111" s="935"/>
      <c r="H111" s="935"/>
      <c r="I111" s="935"/>
      <c r="J111" s="935"/>
      <c r="K111" s="935"/>
      <c r="L111" s="935"/>
      <c r="M111" s="935"/>
      <c r="N111" s="935"/>
      <c r="O111" s="935"/>
      <c r="P111" s="935"/>
      <c r="Q111" s="935"/>
      <c r="R111" s="936"/>
    </row>
    <row r="112" spans="1:18" ht="31.9" customHeight="1" outlineLevel="1">
      <c r="A112" s="580"/>
      <c r="B112" s="934" t="s">
        <v>89</v>
      </c>
      <c r="C112" s="935"/>
      <c r="D112" s="935"/>
      <c r="E112" s="935"/>
      <c r="F112" s="935"/>
      <c r="G112" s="935"/>
      <c r="H112" s="935"/>
      <c r="I112" s="935"/>
      <c r="J112" s="935"/>
      <c r="K112" s="935"/>
      <c r="L112" s="935"/>
      <c r="M112" s="935"/>
      <c r="N112" s="935"/>
      <c r="O112" s="935"/>
      <c r="P112" s="935"/>
      <c r="Q112" s="935"/>
      <c r="R112" s="936"/>
    </row>
    <row r="113" spans="1:18" ht="43.5" customHeight="1" outlineLevel="1">
      <c r="A113" s="580"/>
      <c r="B113" s="934" t="s">
        <v>90</v>
      </c>
      <c r="C113" s="935"/>
      <c r="D113" s="935"/>
      <c r="E113" s="935"/>
      <c r="F113" s="935"/>
      <c r="G113" s="935"/>
      <c r="H113" s="935"/>
      <c r="I113" s="935"/>
      <c r="J113" s="935"/>
      <c r="K113" s="935"/>
      <c r="L113" s="935"/>
      <c r="M113" s="935"/>
      <c r="N113" s="935"/>
      <c r="O113" s="935"/>
      <c r="P113" s="935"/>
      <c r="Q113" s="935"/>
      <c r="R113" s="936"/>
    </row>
    <row r="114" spans="1:18" ht="15" customHeight="1" outlineLevel="1">
      <c r="A114" s="580"/>
      <c r="B114" s="574"/>
      <c r="R114" s="573"/>
    </row>
    <row r="115" spans="1:18" ht="18" customHeight="1" outlineLevel="1">
      <c r="A115" s="580">
        <v>8</v>
      </c>
      <c r="B115" s="574" t="s">
        <v>91</v>
      </c>
      <c r="R115" s="573"/>
    </row>
    <row r="116" spans="1:18" outlineLevel="1">
      <c r="A116" s="580"/>
      <c r="B116" s="574" t="s">
        <v>92</v>
      </c>
      <c r="R116" s="573"/>
    </row>
    <row r="117" spans="1:18" outlineLevel="1">
      <c r="A117" s="580"/>
      <c r="B117" s="574" t="s">
        <v>93</v>
      </c>
      <c r="R117" s="573"/>
    </row>
    <row r="118" spans="1:18" ht="27.4" customHeight="1" outlineLevel="1">
      <c r="A118" s="580"/>
      <c r="B118" s="931" t="s">
        <v>94</v>
      </c>
      <c r="C118" s="932"/>
      <c r="D118" s="932"/>
      <c r="E118" s="932"/>
      <c r="F118" s="932"/>
      <c r="G118" s="932"/>
      <c r="H118" s="932"/>
      <c r="I118" s="932"/>
      <c r="J118" s="932"/>
      <c r="K118" s="932"/>
      <c r="L118" s="932"/>
      <c r="M118" s="932"/>
      <c r="N118" s="932"/>
      <c r="O118" s="932"/>
      <c r="P118" s="932"/>
      <c r="Q118" s="932"/>
      <c r="R118" s="933"/>
    </row>
    <row r="119" spans="1:18" outlineLevel="1">
      <c r="A119" s="580"/>
      <c r="B119" s="574" t="s">
        <v>95</v>
      </c>
      <c r="R119" s="573"/>
    </row>
    <row r="120" spans="1:18" ht="19.5" customHeight="1" outlineLevel="1">
      <c r="A120" s="580"/>
      <c r="B120" s="574"/>
      <c r="R120" s="573"/>
    </row>
    <row r="121" spans="1:18" outlineLevel="1">
      <c r="A121" s="580">
        <v>9</v>
      </c>
      <c r="B121" s="574" t="s">
        <v>96</v>
      </c>
      <c r="R121" s="573"/>
    </row>
    <row r="122" spans="1:18" outlineLevel="1">
      <c r="A122" s="580"/>
      <c r="B122" s="574" t="s">
        <v>97</v>
      </c>
      <c r="R122" s="573"/>
    </row>
    <row r="123" spans="1:18" ht="30" customHeight="1" outlineLevel="1">
      <c r="A123" s="580"/>
      <c r="B123" s="931" t="s">
        <v>98</v>
      </c>
      <c r="C123" s="932"/>
      <c r="D123" s="932"/>
      <c r="E123" s="932"/>
      <c r="F123" s="932"/>
      <c r="G123" s="932"/>
      <c r="H123" s="932"/>
      <c r="I123" s="932"/>
      <c r="J123" s="932"/>
      <c r="K123" s="932"/>
      <c r="L123" s="932"/>
      <c r="M123" s="932"/>
      <c r="N123" s="932"/>
      <c r="O123" s="932"/>
      <c r="P123" s="932"/>
      <c r="Q123" s="932"/>
      <c r="R123" s="933"/>
    </row>
    <row r="124" spans="1:18" outlineLevel="1">
      <c r="A124" s="580"/>
      <c r="B124" s="583" t="s">
        <v>99</v>
      </c>
      <c r="R124" s="573"/>
    </row>
    <row r="125" spans="1:18" outlineLevel="1">
      <c r="A125" s="580"/>
      <c r="B125" s="574" t="s">
        <v>100</v>
      </c>
      <c r="R125" s="573"/>
    </row>
    <row r="126" spans="1:18" outlineLevel="1">
      <c r="A126" s="580"/>
      <c r="B126" s="574" t="s">
        <v>101</v>
      </c>
      <c r="R126" s="573"/>
    </row>
    <row r="127" spans="1:18" ht="27.4" customHeight="1" outlineLevel="1">
      <c r="A127" s="580"/>
      <c r="B127" s="931" t="s">
        <v>102</v>
      </c>
      <c r="C127" s="932"/>
      <c r="D127" s="932"/>
      <c r="E127" s="932"/>
      <c r="F127" s="932"/>
      <c r="G127" s="932"/>
      <c r="H127" s="932"/>
      <c r="I127" s="932"/>
      <c r="J127" s="932"/>
      <c r="K127" s="932"/>
      <c r="L127" s="932"/>
      <c r="M127" s="932"/>
      <c r="N127" s="932"/>
      <c r="O127" s="932"/>
      <c r="P127" s="932"/>
      <c r="Q127" s="932"/>
      <c r="R127" s="933"/>
    </row>
    <row r="128" spans="1:18" outlineLevel="1">
      <c r="A128" s="580"/>
      <c r="B128" s="574"/>
      <c r="R128" s="573"/>
    </row>
    <row r="129" spans="1:18" ht="14.65" customHeight="1" outlineLevel="1">
      <c r="A129" s="580"/>
      <c r="B129" s="581" t="s">
        <v>103</v>
      </c>
      <c r="R129" s="573"/>
    </row>
    <row r="130" spans="1:18" ht="28.5" customHeight="1" outlineLevel="1">
      <c r="A130" s="580" t="s">
        <v>67</v>
      </c>
      <c r="B130" s="931" t="s">
        <v>104</v>
      </c>
      <c r="C130" s="932"/>
      <c r="D130" s="932"/>
      <c r="E130" s="932"/>
      <c r="F130" s="932"/>
      <c r="G130" s="932"/>
      <c r="H130" s="932"/>
      <c r="I130" s="932"/>
      <c r="J130" s="932"/>
      <c r="K130" s="932"/>
      <c r="L130" s="932"/>
      <c r="M130" s="932"/>
      <c r="N130" s="932"/>
      <c r="O130" s="932"/>
      <c r="P130" s="932"/>
      <c r="Q130" s="932"/>
      <c r="R130" s="933"/>
    </row>
    <row r="131" spans="1:18" outlineLevel="1">
      <c r="A131" s="580"/>
      <c r="B131" s="574" t="s">
        <v>105</v>
      </c>
      <c r="R131" s="573"/>
    </row>
    <row r="132" spans="1:18" outlineLevel="1">
      <c r="A132" s="580"/>
      <c r="B132" s="574"/>
      <c r="R132" s="573"/>
    </row>
    <row r="133" spans="1:18" outlineLevel="1">
      <c r="A133" s="580">
        <v>6</v>
      </c>
      <c r="B133" s="574" t="s">
        <v>106</v>
      </c>
      <c r="R133" s="573"/>
    </row>
    <row r="134" spans="1:18" ht="30.4" customHeight="1" outlineLevel="1">
      <c r="A134" s="580"/>
      <c r="B134" s="931" t="s">
        <v>107</v>
      </c>
      <c r="C134" s="932"/>
      <c r="D134" s="932"/>
      <c r="E134" s="932"/>
      <c r="F134" s="932"/>
      <c r="G134" s="932"/>
      <c r="H134" s="932"/>
      <c r="I134" s="932"/>
      <c r="J134" s="932"/>
      <c r="K134" s="932"/>
      <c r="L134" s="932"/>
      <c r="M134" s="932"/>
      <c r="N134" s="932"/>
      <c r="O134" s="932"/>
      <c r="P134" s="932"/>
      <c r="Q134" s="932"/>
      <c r="R134" s="933"/>
    </row>
    <row r="135" spans="1:18" ht="29.65" customHeight="1" outlineLevel="1">
      <c r="A135" s="580"/>
      <c r="B135" s="931" t="s">
        <v>108</v>
      </c>
      <c r="C135" s="932"/>
      <c r="D135" s="932"/>
      <c r="E135" s="932"/>
      <c r="F135" s="932"/>
      <c r="G135" s="932"/>
      <c r="H135" s="932"/>
      <c r="I135" s="932"/>
      <c r="J135" s="932"/>
      <c r="K135" s="932"/>
      <c r="L135" s="932"/>
      <c r="M135" s="932"/>
      <c r="N135" s="932"/>
      <c r="O135" s="932"/>
      <c r="P135" s="932"/>
      <c r="Q135" s="932"/>
      <c r="R135" s="933"/>
    </row>
    <row r="136" spans="1:18" outlineLevel="1">
      <c r="A136" s="580"/>
      <c r="B136" s="574"/>
      <c r="R136" s="573"/>
    </row>
    <row r="137" spans="1:18" outlineLevel="1">
      <c r="A137" s="580">
        <v>7</v>
      </c>
      <c r="B137" s="574" t="s">
        <v>96</v>
      </c>
      <c r="R137" s="573"/>
    </row>
    <row r="138" spans="1:18" outlineLevel="1">
      <c r="A138" s="580"/>
      <c r="B138" s="574" t="s">
        <v>109</v>
      </c>
      <c r="R138" s="573"/>
    </row>
    <row r="139" spans="1:18" outlineLevel="1">
      <c r="A139" s="580"/>
      <c r="B139" s="583" t="s">
        <v>99</v>
      </c>
      <c r="R139" s="573"/>
    </row>
    <row r="140" spans="1:18" outlineLevel="1">
      <c r="A140" s="580"/>
      <c r="B140" s="574" t="s">
        <v>100</v>
      </c>
      <c r="R140" s="573"/>
    </row>
    <row r="141" spans="1:18" outlineLevel="1">
      <c r="A141" s="580"/>
      <c r="B141" s="574" t="s">
        <v>101</v>
      </c>
      <c r="R141" s="573"/>
    </row>
    <row r="142" spans="1:18" ht="28.9" customHeight="1" outlineLevel="1">
      <c r="A142" s="580"/>
      <c r="B142" s="931" t="s">
        <v>102</v>
      </c>
      <c r="C142" s="932"/>
      <c r="D142" s="932"/>
      <c r="E142" s="932"/>
      <c r="F142" s="932"/>
      <c r="G142" s="932"/>
      <c r="H142" s="932"/>
      <c r="I142" s="932"/>
      <c r="J142" s="932"/>
      <c r="K142" s="932"/>
      <c r="L142" s="932"/>
      <c r="M142" s="932"/>
      <c r="N142" s="932"/>
      <c r="O142" s="932"/>
      <c r="P142" s="932"/>
      <c r="Q142" s="932"/>
      <c r="R142" s="933"/>
    </row>
    <row r="143" spans="1:18" outlineLevel="1">
      <c r="A143" s="580"/>
      <c r="B143" s="574"/>
      <c r="R143" s="573"/>
    </row>
    <row r="144" spans="1:18" outlineLevel="1">
      <c r="A144" s="580"/>
      <c r="B144" s="579" t="s">
        <v>110</v>
      </c>
      <c r="R144" s="573"/>
    </row>
    <row r="145" spans="1:18" outlineLevel="1">
      <c r="A145" s="580"/>
      <c r="B145" s="578" t="s">
        <v>111</v>
      </c>
      <c r="R145" s="573"/>
    </row>
    <row r="146" spans="1:18" outlineLevel="1">
      <c r="A146" s="580"/>
      <c r="B146" s="578" t="s">
        <v>112</v>
      </c>
      <c r="R146" s="573"/>
    </row>
    <row r="147" spans="1:18" outlineLevel="1">
      <c r="A147" s="580"/>
      <c r="B147" s="575"/>
      <c r="C147" s="576"/>
      <c r="D147" s="576"/>
      <c r="E147" s="576"/>
      <c r="F147" s="576"/>
      <c r="G147" s="576"/>
      <c r="H147" s="576"/>
      <c r="I147" s="576"/>
      <c r="J147" s="576"/>
      <c r="K147" s="576"/>
      <c r="L147" s="576"/>
      <c r="M147" s="576"/>
      <c r="N147" s="576"/>
      <c r="O147" s="576"/>
      <c r="P147" s="576"/>
      <c r="Q147" s="576"/>
      <c r="R147" s="577"/>
    </row>
    <row r="148" spans="1:18">
      <c r="A148" s="580"/>
    </row>
    <row r="149" spans="1:18" ht="15.6">
      <c r="B149" s="568" t="s">
        <v>113</v>
      </c>
      <c r="C149" s="569"/>
      <c r="D149" s="569"/>
      <c r="E149" s="569"/>
      <c r="F149" s="569"/>
      <c r="G149" s="569"/>
      <c r="H149" s="569"/>
      <c r="I149" s="569"/>
      <c r="J149" s="569"/>
      <c r="K149" s="569"/>
      <c r="L149" s="569"/>
      <c r="M149" s="569"/>
      <c r="N149" s="569"/>
      <c r="O149" s="569"/>
      <c r="P149" s="569"/>
      <c r="Q149" s="569"/>
      <c r="R149" s="570"/>
    </row>
    <row r="150" spans="1:18" outlineLevel="1">
      <c r="B150" s="582" t="s">
        <v>30</v>
      </c>
      <c r="R150" s="573"/>
    </row>
    <row r="151" spans="1:18" outlineLevel="1">
      <c r="B151" s="574" t="s">
        <v>114</v>
      </c>
      <c r="R151" s="573"/>
    </row>
    <row r="152" spans="1:18" outlineLevel="1">
      <c r="B152" s="574" t="s">
        <v>115</v>
      </c>
      <c r="R152" s="573"/>
    </row>
    <row r="153" spans="1:18" ht="28.9" customHeight="1" outlineLevel="1">
      <c r="B153" s="931" t="s">
        <v>116</v>
      </c>
      <c r="C153" s="932"/>
      <c r="D153" s="932"/>
      <c r="E153" s="932"/>
      <c r="F153" s="932"/>
      <c r="G153" s="932"/>
      <c r="H153" s="932"/>
      <c r="I153" s="932"/>
      <c r="J153" s="932"/>
      <c r="K153" s="932"/>
      <c r="L153" s="932"/>
      <c r="M153" s="932"/>
      <c r="N153" s="932"/>
      <c r="O153" s="932"/>
      <c r="P153" s="932"/>
      <c r="Q153" s="932"/>
      <c r="R153" s="933"/>
    </row>
    <row r="154" spans="1:18" ht="28.9" customHeight="1" outlineLevel="1">
      <c r="B154" s="931" t="s">
        <v>117</v>
      </c>
      <c r="C154" s="932"/>
      <c r="D154" s="932"/>
      <c r="E154" s="932"/>
      <c r="F154" s="932"/>
      <c r="G154" s="932"/>
      <c r="H154" s="932"/>
      <c r="I154" s="932"/>
      <c r="J154" s="932"/>
      <c r="K154" s="932"/>
      <c r="L154" s="932"/>
      <c r="M154" s="932"/>
      <c r="N154" s="932"/>
      <c r="O154" s="932"/>
      <c r="P154" s="932"/>
      <c r="Q154" s="932"/>
      <c r="R154" s="933"/>
    </row>
    <row r="155" spans="1:18" ht="28.5" customHeight="1" outlineLevel="1">
      <c r="B155" s="931" t="s">
        <v>118</v>
      </c>
      <c r="C155" s="932"/>
      <c r="D155" s="932"/>
      <c r="E155" s="932"/>
      <c r="F155" s="932"/>
      <c r="G155" s="932"/>
      <c r="H155" s="932"/>
      <c r="I155" s="932"/>
      <c r="J155" s="932"/>
      <c r="K155" s="932"/>
      <c r="L155" s="932"/>
      <c r="M155" s="932"/>
      <c r="N155" s="932"/>
      <c r="O155" s="932"/>
      <c r="P155" s="932"/>
      <c r="Q155" s="932"/>
      <c r="R155" s="933"/>
    </row>
    <row r="156" spans="1:18" ht="27" customHeight="1" outlineLevel="1">
      <c r="B156" s="931" t="s">
        <v>119</v>
      </c>
      <c r="C156" s="932"/>
      <c r="D156" s="932"/>
      <c r="E156" s="932"/>
      <c r="F156" s="932"/>
      <c r="G156" s="932"/>
      <c r="H156" s="932"/>
      <c r="I156" s="932"/>
      <c r="J156" s="932"/>
      <c r="K156" s="932"/>
      <c r="L156" s="932"/>
      <c r="M156" s="932"/>
      <c r="N156" s="932"/>
      <c r="O156" s="932"/>
      <c r="P156" s="932"/>
      <c r="Q156" s="932"/>
      <c r="R156" s="933"/>
    </row>
    <row r="157" spans="1:18" ht="33" customHeight="1" outlineLevel="1">
      <c r="B157" s="931" t="s">
        <v>120</v>
      </c>
      <c r="C157" s="932"/>
      <c r="D157" s="932"/>
      <c r="E157" s="932"/>
      <c r="F157" s="932"/>
      <c r="G157" s="932"/>
      <c r="H157" s="932"/>
      <c r="I157" s="932"/>
      <c r="J157" s="932"/>
      <c r="K157" s="932"/>
      <c r="L157" s="932"/>
      <c r="M157" s="932"/>
      <c r="N157" s="932"/>
      <c r="O157" s="932"/>
      <c r="P157" s="932"/>
      <c r="Q157" s="932"/>
      <c r="R157" s="933"/>
    </row>
    <row r="158" spans="1:18" ht="30" customHeight="1" outlineLevel="1">
      <c r="B158" s="931" t="s">
        <v>121</v>
      </c>
      <c r="C158" s="932"/>
      <c r="D158" s="932"/>
      <c r="E158" s="932"/>
      <c r="F158" s="932"/>
      <c r="G158" s="932"/>
      <c r="H158" s="932"/>
      <c r="I158" s="932"/>
      <c r="J158" s="932"/>
      <c r="K158" s="932"/>
      <c r="L158" s="932"/>
      <c r="M158" s="932"/>
      <c r="N158" s="932"/>
      <c r="O158" s="932"/>
      <c r="P158" s="932"/>
      <c r="Q158" s="932"/>
      <c r="R158" s="933"/>
    </row>
    <row r="159" spans="1:18" outlineLevel="1">
      <c r="B159" s="574" t="s">
        <v>122</v>
      </c>
      <c r="R159" s="573"/>
    </row>
    <row r="160" spans="1:18" outlineLevel="1">
      <c r="B160" s="574" t="s">
        <v>123</v>
      </c>
      <c r="R160" s="573"/>
    </row>
    <row r="161" spans="2:18" outlineLevel="1">
      <c r="B161" s="574"/>
      <c r="R161" s="573"/>
    </row>
    <row r="162" spans="2:18" outlineLevel="1">
      <c r="B162" s="582" t="s">
        <v>35</v>
      </c>
      <c r="R162" s="573"/>
    </row>
    <row r="163" spans="2:18" outlineLevel="1">
      <c r="B163" s="574" t="s">
        <v>124</v>
      </c>
      <c r="R163" s="573"/>
    </row>
    <row r="164" spans="2:18" ht="33.4" customHeight="1" outlineLevel="1">
      <c r="B164" s="931" t="s">
        <v>125</v>
      </c>
      <c r="C164" s="932"/>
      <c r="D164" s="932"/>
      <c r="E164" s="932"/>
      <c r="F164" s="932"/>
      <c r="G164" s="932"/>
      <c r="H164" s="932"/>
      <c r="I164" s="932"/>
      <c r="J164" s="932"/>
      <c r="K164" s="932"/>
      <c r="L164" s="932"/>
      <c r="M164" s="932"/>
      <c r="N164" s="932"/>
      <c r="O164" s="932"/>
      <c r="P164" s="932"/>
      <c r="Q164" s="932"/>
      <c r="R164" s="933"/>
    </row>
    <row r="165" spans="2:18" ht="30" customHeight="1" outlineLevel="1">
      <c r="B165" s="931" t="s">
        <v>126</v>
      </c>
      <c r="C165" s="932"/>
      <c r="D165" s="932"/>
      <c r="E165" s="932"/>
      <c r="F165" s="932"/>
      <c r="G165" s="932"/>
      <c r="H165" s="932"/>
      <c r="I165" s="932"/>
      <c r="J165" s="932"/>
      <c r="K165" s="932"/>
      <c r="L165" s="932"/>
      <c r="M165" s="932"/>
      <c r="N165" s="932"/>
      <c r="O165" s="932"/>
      <c r="P165" s="932"/>
      <c r="Q165" s="932"/>
      <c r="R165" s="933"/>
    </row>
    <row r="166" spans="2:18" ht="33" customHeight="1" outlineLevel="1">
      <c r="B166" s="931" t="s">
        <v>127</v>
      </c>
      <c r="C166" s="932"/>
      <c r="D166" s="932"/>
      <c r="E166" s="932"/>
      <c r="F166" s="932"/>
      <c r="G166" s="932"/>
      <c r="H166" s="932"/>
      <c r="I166" s="932"/>
      <c r="J166" s="932"/>
      <c r="K166" s="932"/>
      <c r="L166" s="932"/>
      <c r="M166" s="932"/>
      <c r="N166" s="932"/>
      <c r="O166" s="932"/>
      <c r="P166" s="932"/>
      <c r="Q166" s="932"/>
      <c r="R166" s="933"/>
    </row>
    <row r="167" spans="2:18" ht="28.15" customHeight="1" outlineLevel="1">
      <c r="B167" s="931" t="s">
        <v>128</v>
      </c>
      <c r="C167" s="932"/>
      <c r="D167" s="932"/>
      <c r="E167" s="932"/>
      <c r="F167" s="932"/>
      <c r="G167" s="932"/>
      <c r="H167" s="932"/>
      <c r="I167" s="932"/>
      <c r="J167" s="932"/>
      <c r="K167" s="932"/>
      <c r="L167" s="932"/>
      <c r="M167" s="932"/>
      <c r="N167" s="932"/>
      <c r="O167" s="932"/>
      <c r="P167" s="932"/>
      <c r="Q167" s="932"/>
      <c r="R167" s="933"/>
    </row>
    <row r="168" spans="2:18" outlineLevel="1">
      <c r="B168" s="574" t="s">
        <v>129</v>
      </c>
      <c r="R168" s="573"/>
    </row>
    <row r="169" spans="2:18" outlineLevel="1">
      <c r="B169" s="574" t="s">
        <v>130</v>
      </c>
      <c r="R169" s="573"/>
    </row>
    <row r="170" spans="2:18" outlineLevel="1">
      <c r="B170" s="574" t="s">
        <v>131</v>
      </c>
      <c r="R170" s="573"/>
    </row>
    <row r="171" spans="2:18" ht="45.4" customHeight="1" outlineLevel="1">
      <c r="B171" s="931" t="s">
        <v>132</v>
      </c>
      <c r="C171" s="932"/>
      <c r="D171" s="932"/>
      <c r="E171" s="932"/>
      <c r="F171" s="932"/>
      <c r="G171" s="932"/>
      <c r="H171" s="932"/>
      <c r="I171" s="932"/>
      <c r="J171" s="932"/>
      <c r="K171" s="932"/>
      <c r="L171" s="932"/>
      <c r="M171" s="932"/>
      <c r="N171" s="932"/>
      <c r="O171" s="932"/>
      <c r="P171" s="932"/>
      <c r="Q171" s="932"/>
      <c r="R171" s="933"/>
    </row>
    <row r="172" spans="2:18" outlineLevel="1">
      <c r="B172" s="574"/>
      <c r="R172" s="573"/>
    </row>
    <row r="173" spans="2:18" outlineLevel="1">
      <c r="B173" s="582" t="s">
        <v>40</v>
      </c>
      <c r="R173" s="573"/>
    </row>
    <row r="174" spans="2:18" outlineLevel="1">
      <c r="B174" s="574" t="s">
        <v>124</v>
      </c>
      <c r="R174" s="573"/>
    </row>
    <row r="175" spans="2:18" ht="28.9" customHeight="1" outlineLevel="1">
      <c r="B175" s="931" t="s">
        <v>125</v>
      </c>
      <c r="C175" s="932"/>
      <c r="D175" s="932"/>
      <c r="E175" s="932"/>
      <c r="F175" s="932"/>
      <c r="G175" s="932"/>
      <c r="H175" s="932"/>
      <c r="I175" s="932"/>
      <c r="J175" s="932"/>
      <c r="K175" s="932"/>
      <c r="L175" s="932"/>
      <c r="M175" s="932"/>
      <c r="N175" s="932"/>
      <c r="O175" s="932"/>
      <c r="P175" s="932"/>
      <c r="Q175" s="932"/>
      <c r="R175" s="933"/>
    </row>
    <row r="176" spans="2:18" ht="30" customHeight="1" outlineLevel="1">
      <c r="B176" s="931" t="s">
        <v>133</v>
      </c>
      <c r="C176" s="932"/>
      <c r="D176" s="932"/>
      <c r="E176" s="932"/>
      <c r="F176" s="932"/>
      <c r="G176" s="932"/>
      <c r="H176" s="932"/>
      <c r="I176" s="932"/>
      <c r="J176" s="932"/>
      <c r="K176" s="932"/>
      <c r="L176" s="932"/>
      <c r="M176" s="932"/>
      <c r="N176" s="932"/>
      <c r="O176" s="932"/>
      <c r="P176" s="932"/>
      <c r="Q176" s="932"/>
      <c r="R176" s="933"/>
    </row>
    <row r="177" spans="2:18" ht="30.4" customHeight="1" outlineLevel="1">
      <c r="B177" s="931" t="s">
        <v>134</v>
      </c>
      <c r="C177" s="932"/>
      <c r="D177" s="932"/>
      <c r="E177" s="932"/>
      <c r="F177" s="932"/>
      <c r="G177" s="932"/>
      <c r="H177" s="932"/>
      <c r="I177" s="932"/>
      <c r="J177" s="932"/>
      <c r="K177" s="932"/>
      <c r="L177" s="932"/>
      <c r="M177" s="932"/>
      <c r="N177" s="932"/>
      <c r="O177" s="932"/>
      <c r="P177" s="932"/>
      <c r="Q177" s="932"/>
      <c r="R177" s="933"/>
    </row>
    <row r="178" spans="2:18" ht="28.9" customHeight="1" outlineLevel="1">
      <c r="B178" s="931" t="s">
        <v>135</v>
      </c>
      <c r="C178" s="932"/>
      <c r="D178" s="932"/>
      <c r="E178" s="932"/>
      <c r="F178" s="932"/>
      <c r="G178" s="932"/>
      <c r="H178" s="932"/>
      <c r="I178" s="932"/>
      <c r="J178" s="932"/>
      <c r="K178" s="932"/>
      <c r="L178" s="932"/>
      <c r="M178" s="932"/>
      <c r="N178" s="932"/>
      <c r="O178" s="932"/>
      <c r="P178" s="932"/>
      <c r="Q178" s="932"/>
      <c r="R178" s="933"/>
    </row>
    <row r="179" spans="2:18" outlineLevel="1">
      <c r="B179" s="574" t="s">
        <v>129</v>
      </c>
      <c r="R179" s="573"/>
    </row>
    <row r="180" spans="2:18" outlineLevel="1">
      <c r="B180" s="574" t="s">
        <v>130</v>
      </c>
      <c r="R180" s="573"/>
    </row>
    <row r="181" spans="2:18" outlineLevel="1">
      <c r="B181" s="574" t="s">
        <v>131</v>
      </c>
      <c r="R181" s="573"/>
    </row>
    <row r="182" spans="2:18" ht="43.15" customHeight="1" outlineLevel="1">
      <c r="B182" s="931" t="s">
        <v>132</v>
      </c>
      <c r="C182" s="932"/>
      <c r="D182" s="932"/>
      <c r="E182" s="932"/>
      <c r="F182" s="932"/>
      <c r="G182" s="932"/>
      <c r="H182" s="932"/>
      <c r="I182" s="932"/>
      <c r="J182" s="932"/>
      <c r="K182" s="932"/>
      <c r="L182" s="932"/>
      <c r="M182" s="932"/>
      <c r="N182" s="932"/>
      <c r="O182" s="932"/>
      <c r="P182" s="932"/>
      <c r="Q182" s="932"/>
      <c r="R182" s="933"/>
    </row>
    <row r="183" spans="2:18" outlineLevel="1">
      <c r="B183" s="575"/>
      <c r="C183" s="576"/>
      <c r="D183" s="576"/>
      <c r="E183" s="576"/>
      <c r="F183" s="576"/>
      <c r="G183" s="576"/>
      <c r="H183" s="576"/>
      <c r="I183" s="576"/>
      <c r="J183" s="576"/>
      <c r="K183" s="576"/>
      <c r="L183" s="576"/>
      <c r="M183" s="576"/>
      <c r="N183" s="576"/>
      <c r="O183" s="576"/>
      <c r="P183" s="576"/>
      <c r="Q183" s="576"/>
      <c r="R183" s="577"/>
    </row>
    <row r="186" spans="2:18" ht="14.45">
      <c r="B186" s="567"/>
    </row>
  </sheetData>
  <mergeCells count="62">
    <mergeCell ref="B7:R7"/>
    <mergeCell ref="B8:R8"/>
    <mergeCell ref="B9:R9"/>
    <mergeCell ref="B11:R11"/>
    <mergeCell ref="B12:R12"/>
    <mergeCell ref="B13:R13"/>
    <mergeCell ref="B19:R19"/>
    <mergeCell ref="B21:R21"/>
    <mergeCell ref="B22:R22"/>
    <mergeCell ref="B23:R23"/>
    <mergeCell ref="B29:R29"/>
    <mergeCell ref="B32:R32"/>
    <mergeCell ref="B37:R37"/>
    <mergeCell ref="B43:R43"/>
    <mergeCell ref="B48:R48"/>
    <mergeCell ref="B50:R50"/>
    <mergeCell ref="B55:R55"/>
    <mergeCell ref="B57:R57"/>
    <mergeCell ref="B62:R62"/>
    <mergeCell ref="B69:R69"/>
    <mergeCell ref="B71:R71"/>
    <mergeCell ref="B74:R74"/>
    <mergeCell ref="B76:R76"/>
    <mergeCell ref="C83:R83"/>
    <mergeCell ref="C84:R84"/>
    <mergeCell ref="B73:R73"/>
    <mergeCell ref="B91:R91"/>
    <mergeCell ref="B97:R97"/>
    <mergeCell ref="B98:R98"/>
    <mergeCell ref="B105:R105"/>
    <mergeCell ref="B118:R118"/>
    <mergeCell ref="B109:R109"/>
    <mergeCell ref="B110:R110"/>
    <mergeCell ref="B111:R111"/>
    <mergeCell ref="B112:R112"/>
    <mergeCell ref="B113:R113"/>
    <mergeCell ref="B104:R104"/>
    <mergeCell ref="B99:R99"/>
    <mergeCell ref="C100:R100"/>
    <mergeCell ref="C101:R101"/>
    <mergeCell ref="B123:R123"/>
    <mergeCell ref="B127:R127"/>
    <mergeCell ref="B130:R130"/>
    <mergeCell ref="B134:R134"/>
    <mergeCell ref="B135:R135"/>
    <mergeCell ref="B142:R142"/>
    <mergeCell ref="B153:R153"/>
    <mergeCell ref="B154:R154"/>
    <mergeCell ref="B155:R155"/>
    <mergeCell ref="B156:R156"/>
    <mergeCell ref="B157:R157"/>
    <mergeCell ref="B158:R158"/>
    <mergeCell ref="B164:R164"/>
    <mergeCell ref="B165:R165"/>
    <mergeCell ref="B177:R177"/>
    <mergeCell ref="B178:R178"/>
    <mergeCell ref="B182:R182"/>
    <mergeCell ref="B166:R166"/>
    <mergeCell ref="B167:R167"/>
    <mergeCell ref="B171:R171"/>
    <mergeCell ref="B175:R175"/>
    <mergeCell ref="B176:R17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A852C-F774-4C4C-94B9-F380E492A25F}">
  <dimension ref="A2:J68"/>
  <sheetViews>
    <sheetView zoomScale="130" zoomScaleNormal="130" workbookViewId="0">
      <selection activeCell="F50" sqref="F50"/>
    </sheetView>
  </sheetViews>
  <sheetFormatPr defaultRowHeight="14.45"/>
  <cols>
    <col min="2" max="2" width="17.85546875" customWidth="1"/>
    <col min="4" max="4" width="12.28515625" bestFit="1" customWidth="1"/>
    <col min="5" max="5" width="11.28515625" bestFit="1" customWidth="1"/>
    <col min="6" max="6" width="12.28515625" bestFit="1" customWidth="1"/>
    <col min="7" max="7" width="11.28515625" bestFit="1" customWidth="1"/>
  </cols>
  <sheetData>
    <row r="2" spans="3:9">
      <c r="D2" t="s">
        <v>680</v>
      </c>
      <c r="E2" t="s">
        <v>238</v>
      </c>
      <c r="F2" t="s">
        <v>234</v>
      </c>
      <c r="G2" t="s">
        <v>681</v>
      </c>
      <c r="I2" t="s">
        <v>679</v>
      </c>
    </row>
    <row r="3" spans="3:9">
      <c r="C3" t="s">
        <v>600</v>
      </c>
      <c r="D3" s="258">
        <v>243151.59539473683</v>
      </c>
      <c r="E3" s="258">
        <v>34121.348684210527</v>
      </c>
      <c r="F3" s="258">
        <v>44382.6875</v>
      </c>
      <c r="G3" s="258">
        <v>8830.1940789473683</v>
      </c>
      <c r="I3">
        <v>2</v>
      </c>
    </row>
    <row r="4" spans="3:9">
      <c r="C4" t="s">
        <v>608</v>
      </c>
      <c r="D4" s="258">
        <v>233750</v>
      </c>
      <c r="E4" s="258">
        <v>43692.084000000003</v>
      </c>
      <c r="F4" s="258">
        <v>57535.462499999994</v>
      </c>
      <c r="G4" s="258">
        <v>9480.7000000000007</v>
      </c>
      <c r="I4">
        <v>10</v>
      </c>
    </row>
    <row r="5" spans="3:9">
      <c r="C5" t="s">
        <v>616</v>
      </c>
      <c r="D5" s="258">
        <v>115125</v>
      </c>
      <c r="E5" s="258">
        <v>57506.516304347824</v>
      </c>
      <c r="F5" s="258">
        <v>87400.75</v>
      </c>
      <c r="G5" s="258">
        <v>6874.7793103448275</v>
      </c>
      <c r="I5">
        <v>4</v>
      </c>
    </row>
    <row r="6" spans="3:9">
      <c r="C6" t="s">
        <v>626</v>
      </c>
      <c r="D6" s="258">
        <v>215033.33333333331</v>
      </c>
      <c r="E6" s="258">
        <v>69691.269230769234</v>
      </c>
      <c r="F6" s="258">
        <v>156229.47575757577</v>
      </c>
      <c r="G6" s="258">
        <v>10790.554487179488</v>
      </c>
      <c r="I6">
        <v>9</v>
      </c>
    </row>
    <row r="7" spans="3:9">
      <c r="C7" s="75" t="s">
        <v>690</v>
      </c>
      <c r="D7" s="258">
        <v>204474.39802631579</v>
      </c>
      <c r="E7" s="258">
        <v>48120.743999999999</v>
      </c>
      <c r="F7" s="258">
        <v>87157.916666666657</v>
      </c>
      <c r="G7" s="258">
        <v>9480.7000000000007</v>
      </c>
      <c r="I7">
        <v>26</v>
      </c>
    </row>
    <row r="39" spans="2:10">
      <c r="C39" s="259" t="s">
        <v>564</v>
      </c>
      <c r="D39" s="260" t="s">
        <v>565</v>
      </c>
      <c r="E39" s="260" t="s">
        <v>566</v>
      </c>
      <c r="F39" s="260" t="s">
        <v>567</v>
      </c>
      <c r="G39" s="260" t="s">
        <v>568</v>
      </c>
      <c r="H39" s="260" t="s">
        <v>569</v>
      </c>
      <c r="I39" s="260" t="s">
        <v>570</v>
      </c>
      <c r="J39" s="261" t="s">
        <v>257</v>
      </c>
    </row>
    <row r="40" spans="2:10">
      <c r="B40" t="s">
        <v>686</v>
      </c>
      <c r="C40">
        <v>0.13626233059764559</v>
      </c>
      <c r="D40">
        <v>8.1131615476814856E-2</v>
      </c>
      <c r="E40">
        <v>0.43427620632279534</v>
      </c>
      <c r="F40">
        <v>0.10109504053003016</v>
      </c>
      <c r="G40">
        <v>3.4584112815494242E-2</v>
      </c>
      <c r="H40">
        <v>3.1745905380589967E-2</v>
      </c>
      <c r="I40">
        <v>0.11259407200189782</v>
      </c>
      <c r="J40">
        <v>0.17614239341620649</v>
      </c>
    </row>
    <row r="41" spans="2:10">
      <c r="B41" t="s">
        <v>685</v>
      </c>
      <c r="C41">
        <v>0.14929626056722115</v>
      </c>
      <c r="D41">
        <v>8.9989395257534632E-2</v>
      </c>
      <c r="E41">
        <v>0.37176704780610415</v>
      </c>
      <c r="F41">
        <v>0.11695349687933236</v>
      </c>
      <c r="G41">
        <v>3.2693452673310273E-2</v>
      </c>
      <c r="H41">
        <v>7.3279970144506032E-2</v>
      </c>
      <c r="I41">
        <v>0.10858939920890498</v>
      </c>
      <c r="J41">
        <v>0.27557035545959124</v>
      </c>
    </row>
    <row r="44" spans="2:10">
      <c r="C44" s="75" t="s">
        <v>686</v>
      </c>
      <c r="D44" s="75" t="s">
        <v>685</v>
      </c>
    </row>
    <row r="45" spans="2:10">
      <c r="B45" s="715" t="s">
        <v>566</v>
      </c>
      <c r="C45" s="252">
        <v>0.43427620632279534</v>
      </c>
      <c r="D45" s="252">
        <v>0.37176704780610415</v>
      </c>
    </row>
    <row r="46" spans="2:10">
      <c r="B46" s="713" t="s">
        <v>257</v>
      </c>
      <c r="C46" s="252">
        <v>0.17614239341620649</v>
      </c>
      <c r="D46" s="252">
        <v>0.27557035545959124</v>
      </c>
    </row>
    <row r="47" spans="2:10">
      <c r="B47" s="716" t="s">
        <v>564</v>
      </c>
      <c r="C47" s="252">
        <v>0.13626233059764559</v>
      </c>
      <c r="D47" s="252">
        <v>0.14929626056722115</v>
      </c>
    </row>
    <row r="48" spans="2:10">
      <c r="B48" s="713" t="s">
        <v>570</v>
      </c>
      <c r="C48" s="252">
        <v>0.11259407200189782</v>
      </c>
      <c r="D48" s="252">
        <v>0.10858939920890498</v>
      </c>
    </row>
    <row r="49" spans="1:10">
      <c r="B49" s="713" t="s">
        <v>567</v>
      </c>
      <c r="C49" s="252">
        <v>0.10109504053003016</v>
      </c>
      <c r="D49" s="252">
        <v>0.11695349687933236</v>
      </c>
    </row>
    <row r="50" spans="1:10">
      <c r="B50" s="713" t="s">
        <v>565</v>
      </c>
      <c r="C50" s="252">
        <v>8.1131615476814856E-2</v>
      </c>
      <c r="D50" s="252">
        <v>8.9989395257534632E-2</v>
      </c>
    </row>
    <row r="51" spans="1:10">
      <c r="B51" s="713" t="s">
        <v>691</v>
      </c>
      <c r="C51" s="252">
        <v>3.4584112815494242E-2</v>
      </c>
      <c r="D51" s="252">
        <v>3.2693452673310273E-2</v>
      </c>
    </row>
    <row r="52" spans="1:10">
      <c r="B52" s="714" t="s">
        <v>569</v>
      </c>
      <c r="C52" s="252">
        <v>3.1745905380589967E-2</v>
      </c>
      <c r="D52" s="252">
        <v>7.3279970144506032E-2</v>
      </c>
    </row>
    <row r="55" spans="1:10" ht="86.45">
      <c r="B55" s="262" t="s">
        <v>220</v>
      </c>
      <c r="C55" s="263" t="s">
        <v>228</v>
      </c>
      <c r="D55" s="263" t="s">
        <v>692</v>
      </c>
      <c r="E55" s="263" t="s">
        <v>582</v>
      </c>
      <c r="F55" s="263" t="s">
        <v>583</v>
      </c>
      <c r="G55" s="263" t="s">
        <v>452</v>
      </c>
      <c r="H55" s="263" t="s">
        <v>584</v>
      </c>
      <c r="I55" s="263" t="s">
        <v>585</v>
      </c>
      <c r="J55" s="264" t="s">
        <v>233</v>
      </c>
    </row>
    <row r="56" spans="1:10">
      <c r="A56" t="s">
        <v>686</v>
      </c>
      <c r="B56" s="252">
        <v>0.16065779194158461</v>
      </c>
      <c r="C56" s="252">
        <v>7.8791489958290981E-2</v>
      </c>
      <c r="D56" s="252">
        <v>9.6375793130205445E-2</v>
      </c>
      <c r="E56" s="252">
        <v>8.6235633552395413E-2</v>
      </c>
      <c r="F56" s="252">
        <v>0.14157968212289751</v>
      </c>
      <c r="G56" s="252">
        <v>5.4884742041712405E-2</v>
      </c>
      <c r="H56" s="252">
        <v>0.2547528164839114</v>
      </c>
      <c r="I56" s="252">
        <v>0.13044689818523808</v>
      </c>
      <c r="J56" s="252">
        <v>0.20283404152237539</v>
      </c>
    </row>
    <row r="57" spans="1:10">
      <c r="A57" t="s">
        <v>685</v>
      </c>
      <c r="B57" s="252">
        <v>0.1554351877445603</v>
      </c>
      <c r="C57" s="252">
        <v>0.11515704449664742</v>
      </c>
      <c r="D57" s="252">
        <v>0.11673563503228342</v>
      </c>
      <c r="E57" s="252">
        <v>9.0608615580396484E-2</v>
      </c>
      <c r="F57" s="252">
        <v>0.15708855468577554</v>
      </c>
      <c r="G57" s="252">
        <v>6.5563327979440783E-2</v>
      </c>
      <c r="H57" s="252">
        <v>0.22017438264942413</v>
      </c>
      <c r="I57" s="252">
        <v>0.26739590814434677</v>
      </c>
      <c r="J57" s="252">
        <v>0.22821302496536092</v>
      </c>
    </row>
    <row r="59" spans="1:10">
      <c r="C59" t="s">
        <v>686</v>
      </c>
      <c r="D59" t="s">
        <v>685</v>
      </c>
    </row>
    <row r="60" spans="1:10">
      <c r="B60" s="262" t="s">
        <v>693</v>
      </c>
      <c r="C60" s="252">
        <v>0.2547528164839114</v>
      </c>
      <c r="D60" s="252">
        <v>0.22017438264942413</v>
      </c>
    </row>
    <row r="61" spans="1:10">
      <c r="B61" s="263" t="s">
        <v>233</v>
      </c>
      <c r="C61" s="252">
        <v>0.20283404152237539</v>
      </c>
      <c r="D61" s="252">
        <v>0.22821302496536092</v>
      </c>
    </row>
    <row r="62" spans="1:10">
      <c r="B62" s="263" t="s">
        <v>220</v>
      </c>
      <c r="C62" s="252">
        <v>0.16065779194158461</v>
      </c>
      <c r="D62" s="252">
        <v>0.1554351877445603</v>
      </c>
    </row>
    <row r="63" spans="1:10" ht="28.9">
      <c r="B63" s="263" t="s">
        <v>583</v>
      </c>
      <c r="C63" s="252">
        <v>0.14157968212289751</v>
      </c>
      <c r="D63" s="252">
        <v>0.15708855468577554</v>
      </c>
    </row>
    <row r="64" spans="1:10">
      <c r="B64" s="263" t="s">
        <v>257</v>
      </c>
      <c r="C64" s="252">
        <v>0.13044689818523808</v>
      </c>
      <c r="D64" s="252">
        <v>0.26739590814434677</v>
      </c>
    </row>
    <row r="65" spans="2:4" ht="28.9">
      <c r="B65" s="263" t="s">
        <v>692</v>
      </c>
      <c r="C65" s="252">
        <v>9.6375793130205445E-2</v>
      </c>
      <c r="D65" s="252">
        <v>0.11673563503228342</v>
      </c>
    </row>
    <row r="66" spans="2:4">
      <c r="B66" s="263" t="s">
        <v>582</v>
      </c>
      <c r="C66" s="252">
        <v>8.6235633552395413E-2</v>
      </c>
      <c r="D66" s="252">
        <v>9.0608615580396484E-2</v>
      </c>
    </row>
    <row r="67" spans="2:4">
      <c r="B67" s="263" t="s">
        <v>228</v>
      </c>
      <c r="C67" s="252">
        <v>7.8791489958290981E-2</v>
      </c>
      <c r="D67" s="252">
        <v>0.11515704449664742</v>
      </c>
    </row>
    <row r="68" spans="2:4" ht="28.9">
      <c r="B68" s="264" t="s">
        <v>452</v>
      </c>
      <c r="C68" s="252">
        <v>5.4884742041712405E-2</v>
      </c>
      <c r="D68" s="252">
        <v>6.5563327979440783E-2</v>
      </c>
    </row>
  </sheetData>
  <autoFilter ref="B59:D68" xr:uid="{4E1A852C-F774-4C4C-94B9-F380E492A25F}">
    <sortState xmlns:xlrd2="http://schemas.microsoft.com/office/spreadsheetml/2017/richdata2" ref="B60:D68">
      <sortCondition descending="1" ref="C59:C68"/>
    </sortState>
  </autoFilter>
  <conditionalFormatting sqref="C45:D52">
    <cfRule type="colorScale" priority="1">
      <colorScale>
        <cfvo type="min"/>
        <cfvo type="percentile" val="50"/>
        <cfvo type="max"/>
        <color rgb="FF63BE7B"/>
        <color rgb="FFFFEB84"/>
        <color rgb="FFF8696B"/>
      </colorScale>
    </cfRule>
  </conditionalFormatting>
  <conditionalFormatting sqref="C40:J41">
    <cfRule type="colorScale" priority="2">
      <colorScale>
        <cfvo type="min"/>
        <cfvo type="percentile" val="50"/>
        <cfvo type="max"/>
        <color rgb="FF63BE7B"/>
        <color rgb="FFFFEB84"/>
        <color rgb="FFF8696B"/>
      </colorScale>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9C423-4ABE-47A3-9EBB-8F94E0B02B82}">
  <dimension ref="A3:E9"/>
  <sheetViews>
    <sheetView workbookViewId="0">
      <selection activeCell="A3" sqref="A3"/>
    </sheetView>
  </sheetViews>
  <sheetFormatPr defaultRowHeight="14.45"/>
  <cols>
    <col min="1" max="1" width="22.28515625" bestFit="1" customWidth="1"/>
    <col min="2" max="2" width="28.5703125" bestFit="1" customWidth="1"/>
    <col min="3" max="3" width="15.28515625" bestFit="1" customWidth="1"/>
    <col min="4" max="4" width="23.28515625" bestFit="1" customWidth="1"/>
    <col min="5" max="5" width="22.28515625" bestFit="1" customWidth="1"/>
    <col min="6" max="6" width="18.42578125" bestFit="1" customWidth="1"/>
    <col min="7" max="10" width="28.5703125" bestFit="1" customWidth="1"/>
    <col min="11" max="11" width="33.5703125" bestFit="1" customWidth="1"/>
    <col min="12" max="12" width="20.28515625" bestFit="1" customWidth="1"/>
    <col min="13" max="13" width="3" bestFit="1" customWidth="1"/>
    <col min="14" max="14" width="19.42578125" bestFit="1" customWidth="1"/>
    <col min="15" max="16" width="2" bestFit="1" customWidth="1"/>
    <col min="17" max="18" width="3" bestFit="1" customWidth="1"/>
    <col min="19" max="19" width="24.42578125" bestFit="1" customWidth="1"/>
    <col min="20" max="20" width="4" bestFit="1" customWidth="1"/>
    <col min="21" max="21" width="13.28515625" bestFit="1" customWidth="1"/>
    <col min="22" max="23" width="2" bestFit="1" customWidth="1"/>
    <col min="24" max="24" width="3" bestFit="1" customWidth="1"/>
    <col min="25" max="25" width="4" bestFit="1" customWidth="1"/>
    <col min="26" max="26" width="11" bestFit="1" customWidth="1"/>
  </cols>
  <sheetData>
    <row r="3" spans="1:5">
      <c r="A3" s="248" t="s">
        <v>694</v>
      </c>
      <c r="B3" t="s">
        <v>695</v>
      </c>
      <c r="C3" t="s">
        <v>696</v>
      </c>
      <c r="D3" t="s">
        <v>697</v>
      </c>
      <c r="E3" t="s">
        <v>698</v>
      </c>
    </row>
    <row r="4" spans="1:5">
      <c r="A4" s="249" t="s">
        <v>626</v>
      </c>
      <c r="B4">
        <v>9</v>
      </c>
      <c r="C4">
        <v>16.888888888888889</v>
      </c>
      <c r="D4">
        <v>9253.5002035002035</v>
      </c>
      <c r="E4">
        <v>467796.95363845571</v>
      </c>
    </row>
    <row r="5" spans="1:5">
      <c r="A5" s="249" t="s">
        <v>699</v>
      </c>
      <c r="B5">
        <v>5</v>
      </c>
      <c r="C5">
        <v>5.8</v>
      </c>
      <c r="D5">
        <v>10471.319163636364</v>
      </c>
      <c r="E5">
        <v>345163.15818181814</v>
      </c>
    </row>
    <row r="6" spans="1:5">
      <c r="A6" s="249" t="s">
        <v>616</v>
      </c>
      <c r="B6">
        <v>5</v>
      </c>
      <c r="C6">
        <v>13.8</v>
      </c>
      <c r="D6">
        <v>5439.4597001499251</v>
      </c>
      <c r="E6">
        <v>200699.04042878561</v>
      </c>
    </row>
    <row r="7" spans="1:5">
      <c r="A7" s="249" t="s">
        <v>600</v>
      </c>
      <c r="B7">
        <v>2</v>
      </c>
      <c r="C7">
        <v>114</v>
      </c>
      <c r="D7">
        <v>8830.1940789473683</v>
      </c>
      <c r="E7">
        <v>321655.63157894736</v>
      </c>
    </row>
    <row r="8" spans="1:5">
      <c r="A8" s="249" t="s">
        <v>608</v>
      </c>
      <c r="B8">
        <v>5</v>
      </c>
      <c r="C8">
        <v>43.4</v>
      </c>
      <c r="D8">
        <v>9372.6633333333339</v>
      </c>
      <c r="E8">
        <v>337373.03174603177</v>
      </c>
    </row>
    <row r="9" spans="1:5">
      <c r="A9" s="249" t="s">
        <v>700</v>
      </c>
      <c r="B9">
        <v>26</v>
      </c>
      <c r="C9">
        <v>26.73076923076923</v>
      </c>
      <c r="D9">
        <v>8744.5808067305661</v>
      </c>
      <c r="E9">
        <v>356525.38452642976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E9FB4-4135-407F-83FC-F57AA6BB8CD7}">
  <dimension ref="A1:T48"/>
  <sheetViews>
    <sheetView topLeftCell="A10" zoomScaleNormal="100" workbookViewId="0">
      <selection activeCell="F30" sqref="F30"/>
    </sheetView>
  </sheetViews>
  <sheetFormatPr defaultRowHeight="14.45"/>
  <cols>
    <col min="1" max="1" width="39.7109375" customWidth="1"/>
    <col min="2" max="2" width="19.7109375" customWidth="1"/>
    <col min="3" max="3" width="17.28515625" customWidth="1"/>
    <col min="4" max="4" width="19.7109375" customWidth="1"/>
    <col min="5" max="5" width="17" customWidth="1"/>
    <col min="6" max="6" width="15.5703125" customWidth="1"/>
    <col min="7" max="7" width="16.7109375" customWidth="1"/>
    <col min="8" max="8" width="21.42578125" customWidth="1"/>
    <col min="9" max="9" width="16" customWidth="1"/>
  </cols>
  <sheetData>
    <row r="1" spans="1:20" s="7" customFormat="1" ht="30.4" customHeight="1">
      <c r="A1" s="6" t="s">
        <v>136</v>
      </c>
      <c r="H1" s="8"/>
      <c r="I1" s="8"/>
      <c r="S1" s="50"/>
      <c r="T1" s="57"/>
    </row>
    <row r="2" spans="1:20" ht="15" thickBot="1"/>
    <row r="3" spans="1:20" ht="15.6">
      <c r="A3" s="78" t="s">
        <v>137</v>
      </c>
      <c r="B3" s="875" t="s">
        <v>138</v>
      </c>
      <c r="C3" s="876"/>
      <c r="D3" s="876"/>
      <c r="E3" s="876"/>
      <c r="F3" s="876"/>
    </row>
    <row r="4" spans="1:20" ht="15.6">
      <c r="A4" s="877" t="s">
        <v>139</v>
      </c>
      <c r="B4" s="926">
        <v>2</v>
      </c>
      <c r="C4" s="876"/>
      <c r="D4" s="876"/>
      <c r="E4" s="876"/>
      <c r="F4" s="876"/>
    </row>
    <row r="5" spans="1:20" ht="15.6">
      <c r="A5" s="877" t="s">
        <v>140</v>
      </c>
      <c r="B5" s="926">
        <v>1</v>
      </c>
      <c r="C5" s="876"/>
      <c r="D5" s="876"/>
      <c r="E5" s="876"/>
      <c r="F5" s="876"/>
    </row>
    <row r="6" spans="1:20" ht="15.6">
      <c r="A6" s="877" t="s">
        <v>141</v>
      </c>
      <c r="B6" s="927">
        <v>2</v>
      </c>
      <c r="C6" s="876"/>
      <c r="D6" s="876"/>
      <c r="E6" s="876"/>
      <c r="F6" s="876"/>
    </row>
    <row r="7" spans="1:20" ht="16.149999999999999" thickBot="1">
      <c r="A7" s="878" t="s">
        <v>142</v>
      </c>
      <c r="B7" s="928">
        <v>3</v>
      </c>
      <c r="C7" s="876"/>
      <c r="D7" s="876"/>
      <c r="E7" s="876"/>
      <c r="F7" s="876"/>
    </row>
    <row r="8" spans="1:20" ht="15.6">
      <c r="A8" s="876"/>
      <c r="B8" s="876"/>
      <c r="C8" s="876"/>
      <c r="D8" s="876"/>
      <c r="E8" s="879" t="s">
        <v>143</v>
      </c>
      <c r="F8" s="925">
        <v>25000000</v>
      </c>
    </row>
    <row r="9" spans="1:20" ht="16.149999999999999" thickBot="1">
      <c r="A9" s="876"/>
      <c r="B9" s="876"/>
      <c r="C9" s="876"/>
      <c r="D9" s="876"/>
      <c r="E9" s="878" t="s">
        <v>144</v>
      </c>
      <c r="F9" s="880" cm="1">
        <f t="array" aca="1" ref="F9" ca="1">_xlfn.IFS(F8="","",F8&gt;0,F8-F30)</f>
        <v>550000</v>
      </c>
    </row>
    <row r="10" spans="1:20" s="77" customFormat="1" ht="53.65" customHeight="1">
      <c r="A10" s="881" t="s">
        <v>145</v>
      </c>
      <c r="B10" s="882" t="str" cm="1">
        <f t="array" ref="B10:E10">TRANSPOSE(A4:A7)</f>
        <v>Multifamily Rental</v>
      </c>
      <c r="C10" s="882" t="str">
        <v>Limited Equity Cooperative</v>
      </c>
      <c r="D10" s="882" t="str">
        <v>Multifamily Shared Equity HO (ie condos)</v>
      </c>
      <c r="E10" s="882" t="str">
        <v>Single Family Shared Equity HO</v>
      </c>
      <c r="F10" s="883" t="s">
        <v>146</v>
      </c>
    </row>
    <row r="11" spans="1:20" ht="15.6">
      <c r="A11" s="884" t="s">
        <v>147</v>
      </c>
      <c r="B11" s="885"/>
      <c r="C11" s="885"/>
      <c r="D11" s="885"/>
      <c r="E11" s="885"/>
      <c r="F11" s="886"/>
    </row>
    <row r="12" spans="1:20" ht="15.6">
      <c r="A12" s="887" t="s">
        <v>148</v>
      </c>
      <c r="B12" s="888">
        <f ca="1">B4*'Multifamily Rental'!$G38</f>
        <v>24</v>
      </c>
      <c r="C12" s="888">
        <f ca="1">B5*'Limited Equity Housing Coop'!$G38</f>
        <v>12</v>
      </c>
      <c r="D12" s="888">
        <f ca="1">B6*'MultiFam Shared Equity HO'!$G38</f>
        <v>24</v>
      </c>
      <c r="E12" s="888">
        <f ca="1">B7*'Single Fam Shared Equity HO'!$G38</f>
        <v>3</v>
      </c>
      <c r="F12" s="889">
        <f ca="1">SUM(B12:E12)</f>
        <v>63</v>
      </c>
    </row>
    <row r="13" spans="1:20" ht="15.6">
      <c r="A13" s="890" t="s">
        <v>149</v>
      </c>
      <c r="B13" s="891">
        <f ca="1">$B$4*SUM('Multifamily Rental'!$G8,'Multifamily Rental'!$G14,'Multifamily Rental'!$G20,'Multifamily Rental'!$G26,'Multifamily Rental'!$G32)</f>
        <v>0</v>
      </c>
      <c r="C13" s="891">
        <f ca="1">$B5*SUM('Limited Equity Housing Coop'!$G8,'Limited Equity Housing Coop'!$G14,'Limited Equity Housing Coop'!$G20,'Limited Equity Housing Coop'!$G26,'Limited Equity Housing Coop'!$G32)</f>
        <v>0</v>
      </c>
      <c r="D13" s="891">
        <f ca="1">$B6*SUM('MultiFam Shared Equity HO'!$G8,'MultiFam Shared Equity HO'!$G14,'MultiFam Shared Equity HO'!$G20,'MultiFam Shared Equity HO'!$G26,'MultiFam Shared Equity HO'!$G32)</f>
        <v>0</v>
      </c>
      <c r="E13" s="891">
        <f ca="1">$B7*SUM('Single Fam Shared Equity HO'!$G8,'Single Fam Shared Equity HO'!$G14,'Single Fam Shared Equity HO'!$G20,'Single Fam Shared Equity HO'!$G26,'Single Fam Shared Equity HO'!$G32)</f>
        <v>0</v>
      </c>
      <c r="F13" s="889">
        <f t="shared" ref="F13:F30" ca="1" si="0">SUM(B13:E13)</f>
        <v>0</v>
      </c>
    </row>
    <row r="14" spans="1:20" ht="15.6">
      <c r="A14" s="890" t="s">
        <v>150</v>
      </c>
      <c r="B14" s="891">
        <f ca="1">$B$4*SUM('Multifamily Rental'!$G9,'Multifamily Rental'!$G15,'Multifamily Rental'!$G21,'Multifamily Rental'!$G27,'Multifamily Rental'!$G33)</f>
        <v>0</v>
      </c>
      <c r="C14" s="891">
        <f ca="1">$B5*SUM('Limited Equity Housing Coop'!$G9,'Limited Equity Housing Coop'!$G15,'Limited Equity Housing Coop'!$G21,'Limited Equity Housing Coop'!$G27,'Limited Equity Housing Coop'!$G33)</f>
        <v>0</v>
      </c>
      <c r="D14" s="891">
        <f ca="1">$B6*SUM('MultiFam Shared Equity HO'!$G9,'MultiFam Shared Equity HO'!$G15,'MultiFam Shared Equity HO'!$G21,'MultiFam Shared Equity HO'!$G27,'MultiFam Shared Equity HO'!$G33)</f>
        <v>0</v>
      </c>
      <c r="E14" s="891">
        <f ca="1">$B7*SUM('Single Fam Shared Equity HO'!$G9,'Single Fam Shared Equity HO'!$G15,'Single Fam Shared Equity HO'!$G21,'Single Fam Shared Equity HO'!$G27,'Single Fam Shared Equity HO'!$G33)</f>
        <v>0</v>
      </c>
      <c r="F14" s="889">
        <f t="shared" ca="1" si="0"/>
        <v>0</v>
      </c>
    </row>
    <row r="15" spans="1:20" ht="15.6">
      <c r="A15" s="890" t="s">
        <v>151</v>
      </c>
      <c r="B15" s="891">
        <f ca="1">$B$4*SUM('Multifamily Rental'!$G10,'Multifamily Rental'!$G16,'Multifamily Rental'!$G22,'Multifamily Rental'!$G28,'Multifamily Rental'!$G34)</f>
        <v>24</v>
      </c>
      <c r="C15" s="891">
        <f ca="1">$B5*SUM('Limited Equity Housing Coop'!$G10,'Limited Equity Housing Coop'!$G16,'Limited Equity Housing Coop'!$G22,'Limited Equity Housing Coop'!$G28,'Limited Equity Housing Coop'!$G34)</f>
        <v>12</v>
      </c>
      <c r="D15" s="891">
        <f ca="1">$B6*SUM('MultiFam Shared Equity HO'!$G10,'MultiFam Shared Equity HO'!$G16,'MultiFam Shared Equity HO'!$G22,'MultiFam Shared Equity HO'!$G28,'MultiFam Shared Equity HO'!$G34)</f>
        <v>24</v>
      </c>
      <c r="E15" s="891">
        <f ca="1">$B7*SUM('Single Fam Shared Equity HO'!$G10,'Single Fam Shared Equity HO'!$G16,'Single Fam Shared Equity HO'!$G22,'Single Fam Shared Equity HO'!$G28,'Single Fam Shared Equity HO'!$G34)</f>
        <v>3</v>
      </c>
      <c r="F15" s="889">
        <f t="shared" ca="1" si="0"/>
        <v>63</v>
      </c>
    </row>
    <row r="16" spans="1:20" ht="15.6">
      <c r="A16" s="890" t="s">
        <v>152</v>
      </c>
      <c r="B16" s="891">
        <f ca="1">$B$4*SUM('Multifamily Rental'!$G11,'Multifamily Rental'!$G17,'Multifamily Rental'!$G23,'Multifamily Rental'!$G29,'Multifamily Rental'!$G35)</f>
        <v>0</v>
      </c>
      <c r="C16" s="891">
        <f ca="1">$B5*SUM('Limited Equity Housing Coop'!$G11,'Limited Equity Housing Coop'!$G17,'Limited Equity Housing Coop'!$G23,'Limited Equity Housing Coop'!$G29,'Limited Equity Housing Coop'!$G35)</f>
        <v>0</v>
      </c>
      <c r="D16" s="891">
        <f ca="1">$B6*SUM('MultiFam Shared Equity HO'!$G11,'MultiFam Shared Equity HO'!$G17,'MultiFam Shared Equity HO'!$G23,'MultiFam Shared Equity HO'!$G29,'MultiFam Shared Equity HO'!$G35)</f>
        <v>0</v>
      </c>
      <c r="E16" s="891">
        <f ca="1">$B7*SUM('Single Fam Shared Equity HO'!$G11,'Single Fam Shared Equity HO'!$G17,'Single Fam Shared Equity HO'!$G23,'Single Fam Shared Equity HO'!$G29,'Single Fam Shared Equity HO'!$G35)</f>
        <v>0</v>
      </c>
      <c r="F16" s="889">
        <f t="shared" ca="1" si="0"/>
        <v>0</v>
      </c>
    </row>
    <row r="17" spans="1:6" ht="15.6">
      <c r="A17" s="890" t="s">
        <v>153</v>
      </c>
      <c r="B17" s="891">
        <f ca="1">$B$4*SUM('Multifamily Rental'!$G12,'Multifamily Rental'!$G18,'Multifamily Rental'!$G24,'Multifamily Rental'!$G31,'Multifamily Rental'!$G36)</f>
        <v>0</v>
      </c>
      <c r="C17" s="891">
        <f ca="1">$B5*SUM('Limited Equity Housing Coop'!$G12,'Limited Equity Housing Coop'!$G18,'Limited Equity Housing Coop'!$G24,'Limited Equity Housing Coop'!$G31,'Limited Equity Housing Coop'!$G36)</f>
        <v>0</v>
      </c>
      <c r="D17" s="891">
        <f ca="1">$B6*SUM('MultiFam Shared Equity HO'!$G12,'MultiFam Shared Equity HO'!$G18,'MultiFam Shared Equity HO'!$G24,'MultiFam Shared Equity HO'!$G31,'MultiFam Shared Equity HO'!$G36)</f>
        <v>0</v>
      </c>
      <c r="E17" s="891">
        <f ca="1">$B7*SUM('Single Fam Shared Equity HO'!$G12,'Single Fam Shared Equity HO'!$G18,'Single Fam Shared Equity HO'!$G24,'Single Fam Shared Equity HO'!$G31,'Single Fam Shared Equity HO'!$G36)</f>
        <v>0</v>
      </c>
      <c r="F17" s="889">
        <f t="shared" ca="1" si="0"/>
        <v>0</v>
      </c>
    </row>
    <row r="18" spans="1:6" ht="15.6">
      <c r="A18" s="890" t="s">
        <v>154</v>
      </c>
      <c r="B18" s="891">
        <f ca="1">$B$4*SUM('Multifamily Rental'!$G13,'Multifamily Rental'!$G19,'Multifamily Rental'!$G25,'Multifamily Rental'!$G32,'Multifamily Rental'!$G37)</f>
        <v>0</v>
      </c>
      <c r="C18" s="891">
        <f ca="1">$B5*SUM('Limited Equity Housing Coop'!$G13,'Limited Equity Housing Coop'!$G19,'Limited Equity Housing Coop'!$G25,'Limited Equity Housing Coop'!$G32,'Limited Equity Housing Coop'!$G37)</f>
        <v>0</v>
      </c>
      <c r="D18" s="891">
        <f ca="1">$B6*SUM('MultiFam Shared Equity HO'!$G13,'MultiFam Shared Equity HO'!$G19,'MultiFam Shared Equity HO'!$G25,'MultiFam Shared Equity HO'!$G32,'MultiFam Shared Equity HO'!$G37)</f>
        <v>0</v>
      </c>
      <c r="E18" s="891">
        <f ca="1">$B7*SUM('Single Fam Shared Equity HO'!$G13,'Single Fam Shared Equity HO'!$G19,'Single Fam Shared Equity HO'!$G25,'Single Fam Shared Equity HO'!$G32,'Single Fam Shared Equity HO'!$G37)</f>
        <v>0</v>
      </c>
      <c r="F18" s="889">
        <f t="shared" ca="1" si="0"/>
        <v>0</v>
      </c>
    </row>
    <row r="19" spans="1:6" ht="15.6">
      <c r="A19" s="877"/>
      <c r="B19" s="876"/>
      <c r="C19" s="876"/>
      <c r="D19" s="876"/>
      <c r="E19" s="876"/>
      <c r="F19" s="889"/>
    </row>
    <row r="20" spans="1:6" ht="15.6">
      <c r="A20" s="892" t="s">
        <v>155</v>
      </c>
      <c r="B20" s="885"/>
      <c r="C20" s="885"/>
      <c r="D20" s="885"/>
      <c r="E20" s="885"/>
      <c r="F20" s="893"/>
    </row>
    <row r="21" spans="1:6" ht="15.6">
      <c r="A21" s="894" t="s">
        <v>156</v>
      </c>
      <c r="B21" s="895">
        <f ca="1">'Multifamily Rental'!D17</f>
        <v>794434.24167500006</v>
      </c>
      <c r="C21" s="895">
        <f ca="1">'Limited Equity Housing Coop'!$D19</f>
        <v>815180.94001875003</v>
      </c>
      <c r="D21" s="895">
        <f ca="1">'MultiFam Shared Equity HO'!$D18</f>
        <v>1058470.0007916668</v>
      </c>
      <c r="E21" s="895">
        <f ca="1">'Single Fam Shared Equity HO'!$D18</f>
        <v>775222.61712499999</v>
      </c>
      <c r="F21" s="896">
        <f ca="1">AVERAGEIF(B21:E21,"&lt;&gt;0")</f>
        <v>860826.9499026041</v>
      </c>
    </row>
    <row r="22" spans="1:6" ht="15.6">
      <c r="A22" s="897" t="s">
        <v>157</v>
      </c>
      <c r="B22" s="898">
        <f ca="1">'Multifamily Rental'!C17</f>
        <v>9533210.9001000002</v>
      </c>
      <c r="C22" s="898">
        <f ca="1">$B4*'Limited Equity Housing Coop'!C19</f>
        <v>19564342.560449999</v>
      </c>
      <c r="D22" s="898">
        <f ca="1">$B4*'MultiFam Shared Equity HO'!$C18</f>
        <v>25403280.019000001</v>
      </c>
      <c r="E22" s="898">
        <f ca="1">$B4*'Single Fam Shared Equity HO'!$C18</f>
        <v>1550445.23425</v>
      </c>
      <c r="F22" s="899">
        <f t="shared" ca="1" si="0"/>
        <v>56051278.713800006</v>
      </c>
    </row>
    <row r="23" spans="1:6" ht="15.6">
      <c r="A23" s="894" t="s">
        <v>158</v>
      </c>
      <c r="B23" s="895">
        <f ca="1">SUM('Multifamily Rental'!$D20:$D21)</f>
        <v>599992.34792291664</v>
      </c>
      <c r="C23" s="895">
        <f ca="1">SUM('Limited Equity Housing Coop'!$D22:$D23)</f>
        <v>632219.03834739584</v>
      </c>
      <c r="D23" s="895">
        <f ca="1">SUM('MultiFam Shared Equity HO'!$D21:$D22)</f>
        <v>814685.83392708353</v>
      </c>
      <c r="E23" s="895">
        <f ca="1">SUM('Single Fam Shared Equity HO'!$D21:$D22)</f>
        <v>631416.96284375002</v>
      </c>
      <c r="F23" s="896">
        <f ca="1">AVERAGE(B23:E23)</f>
        <v>669578.54576028651</v>
      </c>
    </row>
    <row r="24" spans="1:6" ht="15.6">
      <c r="A24" s="897" t="s">
        <v>159</v>
      </c>
      <c r="B24" s="898">
        <f ca="1">$B4*SUM('Multifamily Rental'!$C20:$C21)</f>
        <v>14399816.35015</v>
      </c>
      <c r="C24" s="898">
        <f ca="1">$B4*SUM('Limited Equity Housing Coop'!$C22:$C23)</f>
        <v>15173256.920337498</v>
      </c>
      <c r="D24" s="898">
        <f ca="1">$B4*SUM('MultiFam Shared Equity HO'!$C21:$C22)</f>
        <v>19552460.014250003</v>
      </c>
      <c r="E24" s="898">
        <f ca="1">$B4*SUM('Single Fam Shared Equity HO'!$C21:$C22)</f>
        <v>1262833.9256875</v>
      </c>
      <c r="F24" s="899">
        <f t="shared" ca="1" si="0"/>
        <v>50388367.210424997</v>
      </c>
    </row>
    <row r="25" spans="1:6" ht="15.6">
      <c r="A25" s="894" t="s">
        <v>160</v>
      </c>
      <c r="B25" s="895">
        <f ca="1">SUM('Multifamily Rental'!$D41:$D43)</f>
        <v>132343.25781302431</v>
      </c>
      <c r="C25" s="895">
        <f ca="1">SUM('Limited Equity Housing Coop'!$D39:$D40)</f>
        <v>148968.20133886478</v>
      </c>
      <c r="D25" s="876"/>
      <c r="E25" s="876"/>
      <c r="F25" s="896">
        <f ca="1">AVERAGE(B25:E25)</f>
        <v>140655.72957594454</v>
      </c>
    </row>
    <row r="26" spans="1:6" ht="15.6">
      <c r="A26" s="897" t="s">
        <v>161</v>
      </c>
      <c r="B26" s="898">
        <f ca="1">$B4*SUM('Multifamily Rental'!$C41:$C43)</f>
        <v>3176238.1875125836</v>
      </c>
      <c r="C26" s="898">
        <f ca="1">$B4*SUM('Limited Equity Housing Coop'!$C39:$C40)</f>
        <v>3575236.8321327544</v>
      </c>
      <c r="D26" s="898"/>
      <c r="E26" s="898"/>
      <c r="F26" s="899">
        <f t="shared" ca="1" si="0"/>
        <v>6751475.0196453379</v>
      </c>
    </row>
    <row r="27" spans="1:6" ht="15.6">
      <c r="A27" s="894" t="s">
        <v>162</v>
      </c>
      <c r="B27" s="895"/>
      <c r="C27" s="895"/>
      <c r="D27" s="895">
        <f ca="1">SUM('MultiFam Shared Equity HO'!$D39)</f>
        <v>369466.24414242897</v>
      </c>
      <c r="E27" s="895">
        <f ca="1">SUM('Single Fam Shared Equity HO'!$D39)</f>
        <v>358697.78274057916</v>
      </c>
      <c r="F27" s="896">
        <f ca="1">AVERAGE(B27:E27)</f>
        <v>364082.0134415041</v>
      </c>
    </row>
    <row r="28" spans="1:6" ht="15.6">
      <c r="A28" s="894" t="s">
        <v>163</v>
      </c>
      <c r="B28" s="876"/>
      <c r="C28" s="876"/>
      <c r="D28" s="895">
        <f ca="1">$B4*SUM('MultiFam Shared Equity HO'!$C39)</f>
        <v>8867189.8594182953</v>
      </c>
      <c r="E28" s="895">
        <f ca="1">$B4*SUM('Single Fam Shared Equity HO'!$C39)</f>
        <v>717395.56548115832</v>
      </c>
      <c r="F28" s="899">
        <f t="shared" ca="1" si="0"/>
        <v>9584585.4248994533</v>
      </c>
    </row>
    <row r="29" spans="1:6" ht="16.149999999999999" thickBot="1">
      <c r="A29" s="900" t="s">
        <v>164</v>
      </c>
      <c r="B29" s="901">
        <f ca="1">SUM('Multifamily Rental'!$D27:$D29)</f>
        <v>499999.99999999994</v>
      </c>
      <c r="C29" s="901">
        <f ca="1">SUM('Limited Equity Housing Coop'!$D26:$D28)</f>
        <v>499999.99999999994</v>
      </c>
      <c r="D29" s="901">
        <f ca="1">SUM('MultiFam Shared Equity HO'!$D25:$D27)</f>
        <v>250000</v>
      </c>
      <c r="E29" s="901">
        <f ca="1">SUM('Single Fam Shared Equity HO'!$D25:$D27)</f>
        <v>150000</v>
      </c>
      <c r="F29" s="902">
        <f t="shared" ca="1" si="0"/>
        <v>1400000</v>
      </c>
    </row>
    <row r="30" spans="1:6" ht="16.149999999999999" thickBot="1">
      <c r="A30" s="894" t="s">
        <v>165</v>
      </c>
      <c r="B30" s="895">
        <f ca="1">$B4*SUM('Multifamily Rental'!$C27:$C29)</f>
        <v>12000000</v>
      </c>
      <c r="C30" s="895">
        <f ca="1">$B5*SUM('Limited Equity Housing Coop'!$C26:$C28)</f>
        <v>6000000</v>
      </c>
      <c r="D30" s="895">
        <f ca="1">$B6*SUM('MultiFam Shared Equity HO'!$C25:$C27)</f>
        <v>6000000</v>
      </c>
      <c r="E30" s="895">
        <f ca="1">$B7*SUM('Single Fam Shared Equity HO'!$C25:$C27)</f>
        <v>450000</v>
      </c>
      <c r="F30" s="903">
        <f t="shared" ca="1" si="0"/>
        <v>24450000</v>
      </c>
    </row>
    <row r="31" spans="1:6" ht="16.149999999999999" thickBot="1">
      <c r="A31" s="878"/>
      <c r="B31" s="904"/>
      <c r="C31" s="904"/>
      <c r="D31" s="904"/>
      <c r="E31" s="904"/>
      <c r="F31" s="905"/>
    </row>
    <row r="32" spans="1:6" ht="31.15" customHeight="1"/>
    <row r="48" spans="9:9">
      <c r="I48" s="76"/>
    </row>
  </sheetData>
  <sheetProtection algorithmName="SHA-512" hashValue="lDcUb96zWB2xTSOC2vLNBHansZQGw7bk0QZA1KLXwHLRSD/XvGO8X2/e2dnD5leSCqbJ7f2fg0y0Wik4AqfWRA==" saltValue="B/DoZsG62TkID+vNk1MYlg==" spinCount="100000" sheet="1" objects="1" scenarios="1"/>
  <conditionalFormatting sqref="F9">
    <cfRule type="cellIs" dxfId="58" priority="1" operator="lessThan">
      <formula>0</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25CB0-FE77-4A15-82D3-8251E092D597}">
  <sheetPr>
    <tabColor theme="5" tint="0.79998168889431442"/>
  </sheetPr>
  <dimension ref="A1:AY137"/>
  <sheetViews>
    <sheetView topLeftCell="A17" zoomScale="80" zoomScaleNormal="80" workbookViewId="0">
      <selection activeCell="D27" sqref="D27:D29"/>
    </sheetView>
  </sheetViews>
  <sheetFormatPr defaultColWidth="8.7109375" defaultRowHeight="13.9"/>
  <cols>
    <col min="1" max="1" width="28.7109375" style="51" customWidth="1"/>
    <col min="2" max="2" width="46.28515625" style="51" customWidth="1"/>
    <col min="3" max="4" width="16.5703125" style="51" customWidth="1"/>
    <col min="5" max="5" width="21.7109375" style="51" customWidth="1"/>
    <col min="6" max="6" width="15" style="51" customWidth="1"/>
    <col min="7" max="7" width="22.7109375" style="51" customWidth="1"/>
    <col min="8" max="8" width="16.28515625" style="102" customWidth="1"/>
    <col min="9" max="9" width="15.28515625" style="102" customWidth="1"/>
    <col min="10" max="10" width="14" style="51" customWidth="1"/>
    <col min="11" max="11" width="17" style="51" customWidth="1"/>
    <col min="12" max="12" width="18.5703125" style="51" customWidth="1"/>
    <col min="13" max="13" width="21.7109375" style="51" customWidth="1"/>
    <col min="14" max="14" width="19.7109375" style="51" customWidth="1"/>
    <col min="15" max="15" width="17.28515625" style="51" customWidth="1"/>
    <col min="16" max="16" width="17.42578125" style="51" customWidth="1"/>
    <col min="17" max="17" width="17.28515625" style="51" bestFit="1" customWidth="1"/>
    <col min="18" max="18" width="30.42578125" style="51" customWidth="1"/>
    <col min="19" max="19" width="23.28515625" style="51" customWidth="1"/>
    <col min="20" max="20" width="22.28515625" style="55" customWidth="1"/>
    <col min="21" max="21" width="23.140625" style="51" customWidth="1"/>
    <col min="22" max="22" width="19.7109375" style="51" customWidth="1"/>
    <col min="23" max="23" width="29.7109375" style="51" customWidth="1"/>
    <col min="24" max="24" width="47.7109375" style="51" customWidth="1"/>
    <col min="25" max="25" width="16.28515625" style="51" customWidth="1"/>
    <col min="26" max="26" width="15.28515625" style="51" customWidth="1"/>
    <col min="27" max="27" width="14.7109375" style="51" customWidth="1"/>
    <col min="28" max="28" width="15.42578125" style="51" customWidth="1"/>
    <col min="29" max="29" width="15" style="51" customWidth="1"/>
    <col min="30" max="30" width="14.28515625" style="51" customWidth="1"/>
    <col min="31" max="31" width="14.5703125" style="51" customWidth="1"/>
    <col min="32" max="32" width="14.7109375" style="51" customWidth="1"/>
    <col min="33" max="33" width="13.7109375" style="51" customWidth="1"/>
    <col min="34" max="34" width="14.7109375" style="51" customWidth="1"/>
    <col min="35" max="35" width="15.7109375" style="51" customWidth="1"/>
    <col min="36" max="37" width="14.28515625" style="51" customWidth="1"/>
    <col min="38" max="38" width="15.42578125" style="51" customWidth="1"/>
    <col min="39" max="39" width="15.7109375" style="51" customWidth="1"/>
    <col min="40" max="40" width="15.28515625" style="51" customWidth="1"/>
    <col min="41" max="41" width="12.28515625" style="51" customWidth="1"/>
    <col min="42" max="54" width="8.7109375" style="51"/>
    <col min="55" max="57" width="8.7109375" style="51" customWidth="1"/>
    <col min="58" max="16384" width="8.7109375" style="51"/>
  </cols>
  <sheetData>
    <row r="1" spans="1:51" s="50" customFormat="1" ht="30.4" customHeight="1" thickBot="1">
      <c r="A1" s="99" t="s">
        <v>166</v>
      </c>
      <c r="H1" s="100"/>
      <c r="I1" s="100"/>
      <c r="T1" s="57"/>
    </row>
    <row r="2" spans="1:51" ht="19.149999999999999" hidden="1" customHeight="1" thickBot="1">
      <c r="A2" s="101"/>
      <c r="B2" s="51" t="s">
        <v>167</v>
      </c>
      <c r="C2" s="51" t="s">
        <v>168</v>
      </c>
      <c r="S2" s="55"/>
      <c r="T2" s="51"/>
    </row>
    <row r="3" spans="1:51" ht="27.6">
      <c r="B3" s="507" t="s">
        <v>169</v>
      </c>
      <c r="C3" s="508"/>
      <c r="E3"/>
      <c r="G3" s="103" t="s">
        <v>170</v>
      </c>
      <c r="H3" s="71"/>
      <c r="I3" s="32" t="s">
        <v>171</v>
      </c>
      <c r="J3" s="599">
        <v>1</v>
      </c>
      <c r="K3" s="106"/>
      <c r="L3" s="106"/>
      <c r="M3" s="106"/>
      <c r="N3" s="106"/>
      <c r="O3" s="107"/>
      <c r="T3" s="447" t="s">
        <v>172</v>
      </c>
      <c r="U3" s="448"/>
      <c r="V3" s="449"/>
      <c r="X3" s="447" t="s">
        <v>173</v>
      </c>
      <c r="Y3" s="824"/>
      <c r="Z3" s="448"/>
      <c r="AA3" s="448"/>
      <c r="AB3" s="448"/>
      <c r="AC3" s="448"/>
      <c r="AD3" s="448"/>
      <c r="AE3" s="448"/>
      <c r="AF3" s="448"/>
      <c r="AG3" s="448"/>
      <c r="AH3" s="448"/>
      <c r="AI3" s="448"/>
      <c r="AJ3" s="448"/>
      <c r="AK3" s="448"/>
      <c r="AL3" s="448"/>
      <c r="AM3" s="448"/>
      <c r="AN3" s="448"/>
      <c r="AO3" s="450"/>
      <c r="AW3" s="51">
        <v>1</v>
      </c>
      <c r="AX3" s="51" t="s">
        <v>168</v>
      </c>
      <c r="AY3" s="51" t="s">
        <v>174</v>
      </c>
    </row>
    <row r="4" spans="1:51" ht="15" thickBot="1">
      <c r="B4" s="509" t="s">
        <v>175</v>
      </c>
      <c r="C4" s="510"/>
      <c r="E4"/>
      <c r="F4" s="108"/>
      <c r="G4" s="31"/>
      <c r="H4" s="81"/>
      <c r="I4" s="81"/>
      <c r="J4" s="81"/>
      <c r="N4" s="109"/>
      <c r="O4" s="110"/>
      <c r="T4" s="52" t="s">
        <v>176</v>
      </c>
      <c r="V4" s="68"/>
      <c r="X4" s="112"/>
      <c r="Y4" s="81" t="s">
        <v>177</v>
      </c>
      <c r="Z4" s="113">
        <v>1</v>
      </c>
      <c r="AA4" s="113">
        <f>Z4+1</f>
        <v>2</v>
      </c>
      <c r="AB4" s="113">
        <f t="shared" ref="AB4:AN4" si="0">AA4+1</f>
        <v>3</v>
      </c>
      <c r="AC4" s="113">
        <f t="shared" si="0"/>
        <v>4</v>
      </c>
      <c r="AD4" s="113">
        <f t="shared" si="0"/>
        <v>5</v>
      </c>
      <c r="AE4" s="113">
        <f t="shared" si="0"/>
        <v>6</v>
      </c>
      <c r="AF4" s="113">
        <f t="shared" si="0"/>
        <v>7</v>
      </c>
      <c r="AG4" s="113">
        <f t="shared" si="0"/>
        <v>8</v>
      </c>
      <c r="AH4" s="113">
        <f t="shared" si="0"/>
        <v>9</v>
      </c>
      <c r="AI4" s="113">
        <f t="shared" si="0"/>
        <v>10</v>
      </c>
      <c r="AJ4" s="113">
        <f t="shared" si="0"/>
        <v>11</v>
      </c>
      <c r="AK4" s="113">
        <f t="shared" si="0"/>
        <v>12</v>
      </c>
      <c r="AL4" s="113">
        <f t="shared" si="0"/>
        <v>13</v>
      </c>
      <c r="AM4" s="113">
        <f>AL4+1</f>
        <v>14</v>
      </c>
      <c r="AN4" s="113">
        <f t="shared" si="0"/>
        <v>15</v>
      </c>
      <c r="AO4" s="114"/>
      <c r="AW4" s="51">
        <v>2</v>
      </c>
      <c r="AX4" s="51" t="s">
        <v>178</v>
      </c>
      <c r="AY4" s="51" t="s">
        <v>179</v>
      </c>
    </row>
    <row r="5" spans="1:51" ht="21.4" customHeight="1" thickBot="1">
      <c r="B5" s="509" t="s">
        <v>180</v>
      </c>
      <c r="C5" s="511"/>
      <c r="E5" s="693"/>
      <c r="F5" s="117"/>
      <c r="G5" s="505" t="s">
        <v>181</v>
      </c>
      <c r="H5" s="17">
        <v>1</v>
      </c>
      <c r="I5" s="16">
        <v>2</v>
      </c>
      <c r="J5" s="18">
        <v>3</v>
      </c>
      <c r="K5" s="55"/>
      <c r="N5" s="119"/>
      <c r="O5" s="120"/>
      <c r="Q5" s="794" t="s">
        <v>182</v>
      </c>
      <c r="R5" s="798"/>
      <c r="T5" s="67" t="s">
        <v>183</v>
      </c>
      <c r="V5" s="630">
        <v>0.03</v>
      </c>
      <c r="X5" s="816" t="s">
        <v>184</v>
      </c>
      <c r="Y5" s="825"/>
      <c r="Z5" s="113"/>
      <c r="AA5" s="113"/>
      <c r="AB5" s="113"/>
      <c r="AC5" s="113"/>
      <c r="AD5" s="113"/>
      <c r="AE5" s="113"/>
      <c r="AF5" s="113"/>
      <c r="AG5" s="113"/>
      <c r="AH5" s="113"/>
      <c r="AI5" s="113"/>
      <c r="AJ5" s="113"/>
      <c r="AK5" s="113"/>
      <c r="AL5" s="113"/>
      <c r="AM5" s="113"/>
      <c r="AN5" s="113"/>
      <c r="AO5" s="114"/>
      <c r="AW5" s="51">
        <v>3</v>
      </c>
    </row>
    <row r="6" spans="1:51" ht="27.6">
      <c r="B6" s="509" t="s">
        <v>185</v>
      </c>
      <c r="C6" s="512"/>
      <c r="F6" s="117"/>
      <c r="G6" s="503" t="s">
        <v>186</v>
      </c>
      <c r="H6" s="600" t="s">
        <v>187</v>
      </c>
      <c r="I6" s="601" t="s">
        <v>188</v>
      </c>
      <c r="J6" s="601" t="s">
        <v>189</v>
      </c>
      <c r="K6" s="55"/>
      <c r="N6" s="119"/>
      <c r="O6" s="120"/>
      <c r="Q6" s="794"/>
      <c r="R6" s="795" t="s">
        <v>190</v>
      </c>
      <c r="T6" s="67" t="s">
        <v>191</v>
      </c>
      <c r="V6" s="630">
        <v>0.05</v>
      </c>
      <c r="X6" s="67" t="s">
        <v>192</v>
      </c>
      <c r="Z6" s="109">
        <f ca="1">O38*12</f>
        <v>264192</v>
      </c>
      <c r="AA6" s="109">
        <f t="shared" ref="AA6:AN6" ca="1" si="1">Z6*(1+$V$5)</f>
        <v>272117.76000000001</v>
      </c>
      <c r="AB6" s="109">
        <f t="shared" ca="1" si="1"/>
        <v>280281.2928</v>
      </c>
      <c r="AC6" s="109">
        <f t="shared" ca="1" si="1"/>
        <v>288689.73158399999</v>
      </c>
      <c r="AD6" s="109">
        <f t="shared" ca="1" si="1"/>
        <v>297350.42353152001</v>
      </c>
      <c r="AE6" s="109">
        <f t="shared" ca="1" si="1"/>
        <v>306270.93623746559</v>
      </c>
      <c r="AF6" s="109">
        <f t="shared" ca="1" si="1"/>
        <v>315459.06432458956</v>
      </c>
      <c r="AG6" s="109">
        <f t="shared" ca="1" si="1"/>
        <v>324922.83625432727</v>
      </c>
      <c r="AH6" s="109">
        <f t="shared" ca="1" si="1"/>
        <v>334670.52134195709</v>
      </c>
      <c r="AI6" s="109">
        <f t="shared" ca="1" si="1"/>
        <v>344710.6369822158</v>
      </c>
      <c r="AJ6" s="109">
        <f t="shared" ca="1" si="1"/>
        <v>355051.95609168231</v>
      </c>
      <c r="AK6" s="109">
        <f t="shared" ca="1" si="1"/>
        <v>365703.51477443281</v>
      </c>
      <c r="AL6" s="109">
        <f t="shared" ca="1" si="1"/>
        <v>376674.6202176658</v>
      </c>
      <c r="AM6" s="109">
        <f t="shared" ca="1" si="1"/>
        <v>387974.85882419581</v>
      </c>
      <c r="AN6" s="109">
        <f t="shared" ca="1" si="1"/>
        <v>399614.10458892171</v>
      </c>
      <c r="AO6" s="114"/>
    </row>
    <row r="7" spans="1:51" ht="27.6">
      <c r="B7" s="509" t="s">
        <v>193</v>
      </c>
      <c r="C7" s="513"/>
      <c r="E7" s="693"/>
      <c r="F7" s="117"/>
      <c r="G7" s="21"/>
      <c r="H7" s="375" t="s">
        <v>194</v>
      </c>
      <c r="I7" s="372" t="s">
        <v>194</v>
      </c>
      <c r="J7" s="376" t="s">
        <v>194</v>
      </c>
      <c r="K7" s="377" t="s">
        <v>195</v>
      </c>
      <c r="L7" s="372" t="s">
        <v>196</v>
      </c>
      <c r="M7" s="372" t="s">
        <v>197</v>
      </c>
      <c r="N7" s="372" t="s">
        <v>198</v>
      </c>
      <c r="O7" s="378" t="s">
        <v>199</v>
      </c>
      <c r="Q7" s="789">
        <v>0.5</v>
      </c>
      <c r="R7" s="790">
        <f t="shared" ref="R7:R12" ca="1" si="2">SUMIF($M$8:$M$37,"="&amp;M8,$G$8:$G$37)</f>
        <v>0</v>
      </c>
      <c r="T7" s="67" t="s">
        <v>200</v>
      </c>
      <c r="V7" s="630">
        <v>0.03</v>
      </c>
      <c r="X7" s="91" t="s">
        <v>201</v>
      </c>
      <c r="Y7" s="205"/>
      <c r="Z7" s="109">
        <f t="shared" ref="Z7:AN7" ca="1" si="3">-Z6*$V$6</f>
        <v>-13209.6</v>
      </c>
      <c r="AA7" s="109">
        <f t="shared" ca="1" si="3"/>
        <v>-13605.888000000001</v>
      </c>
      <c r="AB7" s="109">
        <f t="shared" ca="1" si="3"/>
        <v>-14014.064640000001</v>
      </c>
      <c r="AC7" s="109">
        <f t="shared" ca="1" si="3"/>
        <v>-14434.4865792</v>
      </c>
      <c r="AD7" s="109">
        <f t="shared" ca="1" si="3"/>
        <v>-14867.521176576001</v>
      </c>
      <c r="AE7" s="109">
        <f t="shared" ca="1" si="3"/>
        <v>-15313.546811873281</v>
      </c>
      <c r="AF7" s="109">
        <f t="shared" ca="1" si="3"/>
        <v>-15772.953216229478</v>
      </c>
      <c r="AG7" s="109">
        <f t="shared" ca="1" si="3"/>
        <v>-16246.141812716363</v>
      </c>
      <c r="AH7" s="109">
        <f t="shared" ca="1" si="3"/>
        <v>-16733.526067097857</v>
      </c>
      <c r="AI7" s="109">
        <f t="shared" ca="1" si="3"/>
        <v>-17235.53184911079</v>
      </c>
      <c r="AJ7" s="109">
        <f t="shared" ca="1" si="3"/>
        <v>-17752.597804584115</v>
      </c>
      <c r="AK7" s="109">
        <f t="shared" ca="1" si="3"/>
        <v>-18285.175738721642</v>
      </c>
      <c r="AL7" s="109">
        <f t="shared" ca="1" si="3"/>
        <v>-18833.73101088329</v>
      </c>
      <c r="AM7" s="109">
        <f t="shared" ca="1" si="3"/>
        <v>-19398.742941209792</v>
      </c>
      <c r="AN7" s="109">
        <f t="shared" ca="1" si="3"/>
        <v>-19980.705229446088</v>
      </c>
      <c r="AO7" s="114"/>
    </row>
    <row r="8" spans="1:51" ht="21" customHeight="1">
      <c r="B8" s="509" t="s">
        <v>202</v>
      </c>
      <c r="C8" s="514" t="s">
        <v>203</v>
      </c>
      <c r="F8" s="117"/>
      <c r="G8" s="406">
        <f t="shared" ref="G8:G13" ca="1" si="4">IF(ISBLANK(OFFSET(G8,0,$J$3)),$H8,OFFSET(G8,0,$J$3))</f>
        <v>0</v>
      </c>
      <c r="H8" s="586">
        <v>0</v>
      </c>
      <c r="I8" s="587">
        <v>0</v>
      </c>
      <c r="J8" s="588">
        <v>0</v>
      </c>
      <c r="K8" s="379" t="s">
        <v>204</v>
      </c>
      <c r="L8" s="235">
        <v>0</v>
      </c>
      <c r="M8" s="380">
        <v>0.5</v>
      </c>
      <c r="N8" s="602">
        <v>300000</v>
      </c>
      <c r="O8" s="381" t="str">
        <f ca="1">IF(G8&gt;0,VLOOKUP(M8,'Income Limits (Reference Tab)'!$B$3:$G$9,L8+2),"")</f>
        <v/>
      </c>
      <c r="Q8" s="789">
        <v>0.6</v>
      </c>
      <c r="R8" s="790">
        <f t="shared" ca="1" si="2"/>
        <v>0</v>
      </c>
      <c r="T8" s="67" t="s">
        <v>205</v>
      </c>
      <c r="V8" s="630">
        <v>0.03</v>
      </c>
      <c r="X8" s="128" t="s">
        <v>206</v>
      </c>
      <c r="Y8" s="826"/>
      <c r="Z8" s="129">
        <f t="shared" ref="Z8:AN8" ca="1" si="5">-Z6*$V$7</f>
        <v>-7925.7599999999993</v>
      </c>
      <c r="AA8" s="129">
        <f t="shared" ca="1" si="5"/>
        <v>-8163.5328</v>
      </c>
      <c r="AB8" s="129">
        <f t="shared" ca="1" si="5"/>
        <v>-8408.4387839999999</v>
      </c>
      <c r="AC8" s="129">
        <f t="shared" ca="1" si="5"/>
        <v>-8660.6919475199993</v>
      </c>
      <c r="AD8" s="129">
        <f t="shared" ca="1" si="5"/>
        <v>-8920.512705945599</v>
      </c>
      <c r="AE8" s="129">
        <f t="shared" ca="1" si="5"/>
        <v>-9188.1280871239669</v>
      </c>
      <c r="AF8" s="129">
        <f t="shared" ca="1" si="5"/>
        <v>-9463.7719297376862</v>
      </c>
      <c r="AG8" s="129">
        <f t="shared" ca="1" si="5"/>
        <v>-9747.6850876298176</v>
      </c>
      <c r="AH8" s="129">
        <f t="shared" ca="1" si="5"/>
        <v>-10040.115640258713</v>
      </c>
      <c r="AI8" s="129">
        <f t="shared" ca="1" si="5"/>
        <v>-10341.319109466474</v>
      </c>
      <c r="AJ8" s="129">
        <f t="shared" ca="1" si="5"/>
        <v>-10651.558682750469</v>
      </c>
      <c r="AK8" s="129">
        <f t="shared" ca="1" si="5"/>
        <v>-10971.105443232984</v>
      </c>
      <c r="AL8" s="129">
        <f t="shared" ca="1" si="5"/>
        <v>-11300.238606529974</v>
      </c>
      <c r="AM8" s="129">
        <f t="shared" ca="1" si="5"/>
        <v>-11639.245764725874</v>
      </c>
      <c r="AN8" s="129">
        <f t="shared" ca="1" si="5"/>
        <v>-11988.423137667651</v>
      </c>
      <c r="AO8" s="114"/>
    </row>
    <row r="9" spans="1:51" ht="19.149999999999999" customHeight="1" thickBot="1">
      <c r="B9" s="515" t="s">
        <v>207</v>
      </c>
      <c r="C9" s="516" t="s">
        <v>208</v>
      </c>
      <c r="F9" s="117"/>
      <c r="G9" s="373">
        <f t="shared" ca="1" si="4"/>
        <v>0</v>
      </c>
      <c r="H9" s="589"/>
      <c r="I9" s="590">
        <v>0</v>
      </c>
      <c r="J9" s="591">
        <v>0</v>
      </c>
      <c r="K9" s="125" t="s">
        <v>209</v>
      </c>
      <c r="L9" s="55">
        <v>0</v>
      </c>
      <c r="M9" s="126">
        <v>0.6</v>
      </c>
      <c r="N9" s="132">
        <f>N8</f>
        <v>300000</v>
      </c>
      <c r="O9" s="367" t="str">
        <f ca="1">IF(G9&gt;0,VLOOKUP(M9,'Income Limits (Reference Tab)'!$B$3:$G$9,L9+2),"")</f>
        <v/>
      </c>
      <c r="Q9" s="791">
        <v>0.8</v>
      </c>
      <c r="R9" s="790">
        <f t="shared" ca="1" si="2"/>
        <v>12</v>
      </c>
      <c r="S9" s="560"/>
      <c r="T9" s="67" t="s">
        <v>210</v>
      </c>
      <c r="V9" s="647">
        <v>6</v>
      </c>
      <c r="X9" s="133" t="s">
        <v>211</v>
      </c>
      <c r="Y9" s="111"/>
      <c r="Z9" s="134">
        <f t="shared" ref="Z9:AN9" ca="1" si="6">SUM(Z6:Z8)</f>
        <v>243056.63999999998</v>
      </c>
      <c r="AA9" s="134">
        <f t="shared" ca="1" si="6"/>
        <v>250348.33920000002</v>
      </c>
      <c r="AB9" s="134">
        <f t="shared" ca="1" si="6"/>
        <v>257858.789376</v>
      </c>
      <c r="AC9" s="134">
        <f t="shared" ca="1" si="6"/>
        <v>265594.55305727996</v>
      </c>
      <c r="AD9" s="134">
        <f t="shared" ca="1" si="6"/>
        <v>273562.38964899845</v>
      </c>
      <c r="AE9" s="134">
        <f t="shared" ca="1" si="6"/>
        <v>281769.26133846835</v>
      </c>
      <c r="AF9" s="134">
        <f t="shared" ca="1" si="6"/>
        <v>290222.33917862241</v>
      </c>
      <c r="AG9" s="134">
        <f t="shared" ca="1" si="6"/>
        <v>298929.00935398106</v>
      </c>
      <c r="AH9" s="134">
        <f t="shared" ca="1" si="6"/>
        <v>307896.87963460054</v>
      </c>
      <c r="AI9" s="134">
        <f t="shared" ca="1" si="6"/>
        <v>317133.78602363856</v>
      </c>
      <c r="AJ9" s="134">
        <f t="shared" ca="1" si="6"/>
        <v>326647.79960434773</v>
      </c>
      <c r="AK9" s="134">
        <f t="shared" ca="1" si="6"/>
        <v>336447.23359247821</v>
      </c>
      <c r="AL9" s="134">
        <f t="shared" ca="1" si="6"/>
        <v>346540.65060025256</v>
      </c>
      <c r="AM9" s="134">
        <f t="shared" ca="1" si="6"/>
        <v>356936.87011826009</v>
      </c>
      <c r="AN9" s="134">
        <f t="shared" ca="1" si="6"/>
        <v>367644.97622180794</v>
      </c>
      <c r="AO9" s="114"/>
    </row>
    <row r="10" spans="1:51" ht="14.45">
      <c r="C10" s="55"/>
      <c r="F10" s="117"/>
      <c r="G10" s="373">
        <f t="shared" ca="1" si="4"/>
        <v>0</v>
      </c>
      <c r="H10" s="589">
        <v>0</v>
      </c>
      <c r="I10" s="590">
        <v>0</v>
      </c>
      <c r="J10" s="592">
        <v>0</v>
      </c>
      <c r="K10" s="125" t="s">
        <v>212</v>
      </c>
      <c r="L10" s="55">
        <v>0</v>
      </c>
      <c r="M10" s="126">
        <v>0.8</v>
      </c>
      <c r="N10" s="132">
        <f>N8</f>
        <v>300000</v>
      </c>
      <c r="O10" s="367" t="str">
        <f ca="1">IF(G10&gt;0,VLOOKUP(M10,'Income Limits (Reference Tab)'!$B$3:$G$9,L10+2),"")</f>
        <v/>
      </c>
      <c r="Q10" s="791">
        <v>1</v>
      </c>
      <c r="R10" s="790">
        <f t="shared" ca="1" si="2"/>
        <v>0</v>
      </c>
      <c r="T10" s="67"/>
      <c r="V10" s="562"/>
      <c r="X10" s="67"/>
      <c r="AO10" s="114"/>
    </row>
    <row r="11" spans="1:51" ht="14.45">
      <c r="F11" s="117"/>
      <c r="G11" s="373">
        <f t="shared" ca="1" si="4"/>
        <v>0</v>
      </c>
      <c r="H11" s="589">
        <v>0</v>
      </c>
      <c r="I11" s="590">
        <v>0</v>
      </c>
      <c r="J11" s="592">
        <v>0</v>
      </c>
      <c r="K11" s="125" t="s">
        <v>213</v>
      </c>
      <c r="L11" s="55">
        <v>0</v>
      </c>
      <c r="M11" s="126">
        <v>1</v>
      </c>
      <c r="N11" s="132">
        <f>N9</f>
        <v>300000</v>
      </c>
      <c r="O11" s="367" t="str">
        <f ca="1">IF(G11&gt;0,VLOOKUP(M11,'Income Limits (Reference Tab)'!$B$3:$G$9,L11+2),"")</f>
        <v/>
      </c>
      <c r="Q11" s="792">
        <v>1.2</v>
      </c>
      <c r="R11" s="790">
        <f t="shared" ca="1" si="2"/>
        <v>0</v>
      </c>
      <c r="T11" s="70" t="s">
        <v>214</v>
      </c>
      <c r="V11" s="562"/>
      <c r="X11" s="816" t="s">
        <v>215</v>
      </c>
      <c r="Y11" s="825"/>
      <c r="AO11" s="114"/>
    </row>
    <row r="12" spans="1:51" ht="20.45">
      <c r="B12" s="103" t="s">
        <v>216</v>
      </c>
      <c r="C12" s="104"/>
      <c r="D12" s="104"/>
      <c r="E12" s="105"/>
      <c r="F12" s="117"/>
      <c r="G12" s="373">
        <f t="shared" ca="1" si="4"/>
        <v>0</v>
      </c>
      <c r="H12" s="589">
        <v>0</v>
      </c>
      <c r="I12" s="590">
        <v>0</v>
      </c>
      <c r="J12" s="592">
        <v>0</v>
      </c>
      <c r="K12" s="125" t="s">
        <v>217</v>
      </c>
      <c r="L12" s="55">
        <v>0</v>
      </c>
      <c r="M12" s="126">
        <v>1.2</v>
      </c>
      <c r="N12" s="132">
        <f>N10</f>
        <v>300000</v>
      </c>
      <c r="O12" s="367" t="str">
        <f ca="1">IF(G12&gt;0,VLOOKUP(M12,'Income Limits (Reference Tab)'!$B$3:$G$9,L12+2),"")</f>
        <v/>
      </c>
      <c r="P12" s="45"/>
      <c r="Q12" s="797" t="s">
        <v>218</v>
      </c>
      <c r="R12" s="790">
        <f t="shared" ca="1" si="2"/>
        <v>0</v>
      </c>
      <c r="T12" s="67" t="s">
        <v>219</v>
      </c>
      <c r="V12" s="648">
        <v>1731</v>
      </c>
      <c r="X12" s="67" t="s">
        <v>220</v>
      </c>
      <c r="Z12" s="109">
        <f ca="1">V12*$G$38</f>
        <v>20772</v>
      </c>
      <c r="AA12" s="109">
        <f t="shared" ref="AA12:AN12" ca="1" si="7">Z12*(1+$V$8)</f>
        <v>21395.16</v>
      </c>
      <c r="AB12" s="109">
        <f t="shared" ca="1" si="7"/>
        <v>22037.014800000001</v>
      </c>
      <c r="AC12" s="109">
        <f t="shared" ca="1" si="7"/>
        <v>22698.125244000003</v>
      </c>
      <c r="AD12" s="109">
        <f t="shared" ca="1" si="7"/>
        <v>23379.069001320004</v>
      </c>
      <c r="AE12" s="109">
        <f t="shared" ca="1" si="7"/>
        <v>24080.441071359604</v>
      </c>
      <c r="AF12" s="109">
        <f t="shared" ca="1" si="7"/>
        <v>24802.854303500393</v>
      </c>
      <c r="AG12" s="109">
        <f t="shared" ca="1" si="7"/>
        <v>25546.939932605404</v>
      </c>
      <c r="AH12" s="109">
        <f t="shared" ca="1" si="7"/>
        <v>26313.348130583567</v>
      </c>
      <c r="AI12" s="109">
        <f t="shared" ca="1" si="7"/>
        <v>27102.748574501074</v>
      </c>
      <c r="AJ12" s="109">
        <f t="shared" ca="1" si="7"/>
        <v>27915.831031736107</v>
      </c>
      <c r="AK12" s="109">
        <f t="shared" ca="1" si="7"/>
        <v>28753.305962688191</v>
      </c>
      <c r="AL12" s="109">
        <f t="shared" ca="1" si="7"/>
        <v>29615.905141568837</v>
      </c>
      <c r="AM12" s="109">
        <f t="shared" ca="1" si="7"/>
        <v>30504.382295815903</v>
      </c>
      <c r="AN12" s="109">
        <f t="shared" ca="1" si="7"/>
        <v>31419.513764690382</v>
      </c>
      <c r="AO12" s="114"/>
    </row>
    <row r="13" spans="1:51" ht="15.6">
      <c r="B13" s="455" t="s">
        <v>221</v>
      </c>
      <c r="C13" s="456" t="s">
        <v>222</v>
      </c>
      <c r="D13" s="456" t="s">
        <v>223</v>
      </c>
      <c r="E13" s="457" t="s">
        <v>224</v>
      </c>
      <c r="F13" s="108"/>
      <c r="G13" s="373">
        <f t="shared" ca="1" si="4"/>
        <v>0</v>
      </c>
      <c r="H13" s="593">
        <v>0</v>
      </c>
      <c r="I13" s="594">
        <v>0</v>
      </c>
      <c r="J13" s="595">
        <v>0</v>
      </c>
      <c r="K13" s="125" t="s">
        <v>225</v>
      </c>
      <c r="L13" s="55">
        <v>0</v>
      </c>
      <c r="M13" s="55" t="s">
        <v>218</v>
      </c>
      <c r="N13" s="132">
        <f>N9</f>
        <v>300000</v>
      </c>
      <c r="O13" s="367" t="str">
        <f ca="1">IF(G13&gt;0,VLOOKUP(M13,'Income Limits (Reference Tab)'!$B$3:$G$9,L13+2),"")</f>
        <v/>
      </c>
      <c r="P13" s="45"/>
      <c r="Q13" s="796" t="s">
        <v>226</v>
      </c>
      <c r="R13" s="817">
        <f ca="1">IF(G38&gt;0,SUMPRODUCT(Q7:Q11,R7:R11)/SUM(R7:R11),0)</f>
        <v>0.80000000000000016</v>
      </c>
      <c r="T13" s="67" t="s">
        <v>227</v>
      </c>
      <c r="V13" s="648">
        <v>1027</v>
      </c>
      <c r="X13" s="67" t="s">
        <v>228</v>
      </c>
      <c r="Z13" s="109">
        <f ca="1">V13*$G$38</f>
        <v>12324</v>
      </c>
      <c r="AA13" s="109">
        <f t="shared" ref="AA13:AN14" ca="1" si="8">Z13*(1+$V$8)</f>
        <v>12693.720000000001</v>
      </c>
      <c r="AB13" s="109">
        <f t="shared" ca="1" si="8"/>
        <v>13074.531600000002</v>
      </c>
      <c r="AC13" s="109">
        <f t="shared" ca="1" si="8"/>
        <v>13466.767548000002</v>
      </c>
      <c r="AD13" s="109">
        <f t="shared" ca="1" si="8"/>
        <v>13870.770574440003</v>
      </c>
      <c r="AE13" s="109">
        <f t="shared" ca="1" si="8"/>
        <v>14286.893691673204</v>
      </c>
      <c r="AF13" s="109">
        <f t="shared" ca="1" si="8"/>
        <v>14715.5005024234</v>
      </c>
      <c r="AG13" s="109">
        <f t="shared" ca="1" si="8"/>
        <v>15156.965517496103</v>
      </c>
      <c r="AH13" s="109">
        <f t="shared" ca="1" si="8"/>
        <v>15611.674483020986</v>
      </c>
      <c r="AI13" s="109">
        <f t="shared" ca="1" si="8"/>
        <v>16080.024717511616</v>
      </c>
      <c r="AJ13" s="109">
        <f t="shared" ca="1" si="8"/>
        <v>16562.425459036964</v>
      </c>
      <c r="AK13" s="109">
        <f t="shared" ca="1" si="8"/>
        <v>17059.298222808073</v>
      </c>
      <c r="AL13" s="109">
        <f t="shared" ca="1" si="8"/>
        <v>17571.077169492317</v>
      </c>
      <c r="AM13" s="109">
        <f t="shared" ca="1" si="8"/>
        <v>18098.209484577088</v>
      </c>
      <c r="AN13" s="109">
        <f t="shared" ca="1" si="8"/>
        <v>18641.155769114401</v>
      </c>
      <c r="AO13" s="114"/>
    </row>
    <row r="14" spans="1:51" ht="42" thickBot="1">
      <c r="B14" s="96" t="s">
        <v>229</v>
      </c>
      <c r="C14" s="145">
        <f>I49</f>
        <v>7480000</v>
      </c>
      <c r="D14" s="145">
        <f ca="1">IF($G$38&gt;0,C14/$G$38,0)</f>
        <v>623333.33333333337</v>
      </c>
      <c r="E14" s="146">
        <f ca="1">C14/$C$17</f>
        <v>0.78462546128309585</v>
      </c>
      <c r="F14" s="117"/>
      <c r="G14" s="802">
        <f t="shared" ref="G14:G37" ca="1" si="9">IF(ISBLANK(OFFSET(G14,0,$J$3)),$H14,OFFSET(G14,0,$J$3))</f>
        <v>0</v>
      </c>
      <c r="H14" s="799">
        <v>0</v>
      </c>
      <c r="I14" s="587">
        <v>0</v>
      </c>
      <c r="J14" s="588">
        <v>0</v>
      </c>
      <c r="K14" s="379" t="s">
        <v>230</v>
      </c>
      <c r="L14" s="235">
        <v>1</v>
      </c>
      <c r="M14" s="380">
        <v>0.5</v>
      </c>
      <c r="N14" s="602">
        <v>500000</v>
      </c>
      <c r="O14" s="381" t="str">
        <f ca="1">IF(G14&gt;0,VLOOKUP(M14,'Income Limits (Reference Tab)'!$B$3:$G$9,L14+2),"")</f>
        <v/>
      </c>
      <c r="P14" s="127"/>
      <c r="Q14" s="793" t="s">
        <v>231</v>
      </c>
      <c r="R14" s="818">
        <f ca="1">IF(G38&gt;0,SUMIF(M8:M37,"&lt;="&amp;0.8,G8:G37)/G38,0)</f>
        <v>1</v>
      </c>
      <c r="T14" s="67" t="s">
        <v>232</v>
      </c>
      <c r="V14" s="649">
        <v>1.15E-2</v>
      </c>
      <c r="X14" s="67" t="s">
        <v>233</v>
      </c>
      <c r="Z14" s="109">
        <f>$V$14*$I$47</f>
        <v>86020</v>
      </c>
      <c r="AA14" s="109">
        <f>Z14*(1+$V$8)</f>
        <v>88600.6</v>
      </c>
      <c r="AB14" s="109">
        <f ca="1">IF(R14&lt;=0.9,($V$15*$I$47)+(V14*(1-R14)*I47),$V$15*$I$47)</f>
        <v>11220</v>
      </c>
      <c r="AC14" s="109">
        <f ca="1">AB14*(1+$V$8)</f>
        <v>11556.6</v>
      </c>
      <c r="AD14" s="109">
        <f t="shared" ca="1" si="8"/>
        <v>11903.298000000001</v>
      </c>
      <c r="AE14" s="109">
        <f t="shared" ca="1" si="8"/>
        <v>12260.396940000001</v>
      </c>
      <c r="AF14" s="109">
        <f t="shared" ca="1" si="8"/>
        <v>12628.208848200002</v>
      </c>
      <c r="AG14" s="109">
        <f t="shared" ca="1" si="8"/>
        <v>13007.055113646002</v>
      </c>
      <c r="AH14" s="109">
        <f t="shared" ca="1" si="8"/>
        <v>13397.266767055382</v>
      </c>
      <c r="AI14" s="109">
        <f t="shared" ca="1" si="8"/>
        <v>13799.184770067044</v>
      </c>
      <c r="AJ14" s="109">
        <f t="shared" ca="1" si="8"/>
        <v>14213.160313169055</v>
      </c>
      <c r="AK14" s="109">
        <f t="shared" ca="1" si="8"/>
        <v>14639.555122564127</v>
      </c>
      <c r="AL14" s="109">
        <f t="shared" ca="1" si="8"/>
        <v>15078.741776241051</v>
      </c>
      <c r="AM14" s="109">
        <f t="shared" ca="1" si="8"/>
        <v>15531.104029528284</v>
      </c>
      <c r="AN14" s="109">
        <f t="shared" ca="1" si="8"/>
        <v>15997.037150414133</v>
      </c>
      <c r="AO14" s="114"/>
    </row>
    <row r="15" spans="1:51">
      <c r="B15" s="91" t="s">
        <v>234</v>
      </c>
      <c r="C15" s="115">
        <f ca="1">I57</f>
        <v>772714.8</v>
      </c>
      <c r="D15" s="115">
        <f t="shared" ref="D15:D16" ca="1" si="10">IF($G$38&gt;0,C15/$G$38,0)</f>
        <v>64392.9</v>
      </c>
      <c r="E15" s="116">
        <f ca="1">C15/$C$17</f>
        <v>8.1055040961266742E-2</v>
      </c>
      <c r="F15" s="117"/>
      <c r="G15" s="801">
        <f t="shared" ca="1" si="9"/>
        <v>0</v>
      </c>
      <c r="H15" s="800">
        <v>0</v>
      </c>
      <c r="I15" s="590">
        <v>2</v>
      </c>
      <c r="J15" s="591">
        <v>0</v>
      </c>
      <c r="K15" s="125" t="s">
        <v>235</v>
      </c>
      <c r="L15" s="55">
        <v>1</v>
      </c>
      <c r="M15" s="126">
        <v>0.6</v>
      </c>
      <c r="N15" s="132">
        <f>N14</f>
        <v>500000</v>
      </c>
      <c r="O15" s="367" t="str">
        <f ca="1">IF(G15&gt;0,VLOOKUP(M15,'Income Limits (Reference Tab)'!$B$3:$G$9,L15+2),"")</f>
        <v/>
      </c>
      <c r="P15" s="127"/>
      <c r="T15" s="67" t="s">
        <v>236</v>
      </c>
      <c r="V15" s="649">
        <v>1.5E-3</v>
      </c>
      <c r="X15" s="67" t="s">
        <v>237</v>
      </c>
      <c r="Z15" s="109">
        <f ca="1">V16*$G$38</f>
        <v>3600</v>
      </c>
      <c r="AA15" s="109">
        <f t="shared" ref="AA15:AN15" ca="1" si="11">Z15*(1+$V$8)</f>
        <v>3708</v>
      </c>
      <c r="AB15" s="109">
        <f t="shared" ca="1" si="11"/>
        <v>3819.2400000000002</v>
      </c>
      <c r="AC15" s="109">
        <f t="shared" ca="1" si="11"/>
        <v>3933.8172000000004</v>
      </c>
      <c r="AD15" s="109">
        <f t="shared" ca="1" si="11"/>
        <v>4051.8317160000006</v>
      </c>
      <c r="AE15" s="109">
        <f t="shared" ca="1" si="11"/>
        <v>4173.3866674800011</v>
      </c>
      <c r="AF15" s="109">
        <f t="shared" ca="1" si="11"/>
        <v>4298.5882675044013</v>
      </c>
      <c r="AG15" s="109">
        <f t="shared" ca="1" si="11"/>
        <v>4427.5459155295339</v>
      </c>
      <c r="AH15" s="109">
        <f t="shared" ca="1" si="11"/>
        <v>4560.3722929954201</v>
      </c>
      <c r="AI15" s="109">
        <f t="shared" ca="1" si="11"/>
        <v>4697.1834617852828</v>
      </c>
      <c r="AJ15" s="109">
        <f t="shared" ca="1" si="11"/>
        <v>4838.098965638841</v>
      </c>
      <c r="AK15" s="109">
        <f t="shared" ca="1" si="11"/>
        <v>4983.241934608006</v>
      </c>
      <c r="AL15" s="109">
        <f t="shared" ca="1" si="11"/>
        <v>5132.739192646246</v>
      </c>
      <c r="AM15" s="109">
        <f t="shared" ca="1" si="11"/>
        <v>5286.721368425634</v>
      </c>
      <c r="AN15" s="109">
        <f t="shared" ca="1" si="11"/>
        <v>5445.323009478403</v>
      </c>
      <c r="AO15" s="114"/>
    </row>
    <row r="16" spans="1:51" ht="14.45" thickBot="1">
      <c r="B16" s="92" t="s">
        <v>238</v>
      </c>
      <c r="C16" s="123">
        <f ca="1">I83</f>
        <v>1280496.1000999999</v>
      </c>
      <c r="D16" s="123">
        <f t="shared" ca="1" si="10"/>
        <v>106708.00834166666</v>
      </c>
      <c r="E16" s="124">
        <f ca="1">C16/$C$17</f>
        <v>0.1343194977556374</v>
      </c>
      <c r="F16" s="117"/>
      <c r="G16" s="373">
        <f t="shared" ca="1" si="9"/>
        <v>4</v>
      </c>
      <c r="H16" s="589">
        <v>4</v>
      </c>
      <c r="I16" s="590">
        <v>2</v>
      </c>
      <c r="J16" s="592">
        <v>0</v>
      </c>
      <c r="K16" s="125" t="s">
        <v>239</v>
      </c>
      <c r="L16" s="55">
        <v>1</v>
      </c>
      <c r="M16" s="126">
        <v>0.8</v>
      </c>
      <c r="N16" s="132">
        <f>N14</f>
        <v>500000</v>
      </c>
      <c r="O16" s="367">
        <f ca="1">IF(G16&gt;0,VLOOKUP(M16,'Income Limits (Reference Tab)'!$B$3:$G$9,L16+2),"")</f>
        <v>1535</v>
      </c>
      <c r="P16" s="127"/>
      <c r="Q16" s="127"/>
      <c r="T16" s="67" t="s">
        <v>240</v>
      </c>
      <c r="V16" s="648">
        <v>300</v>
      </c>
      <c r="X16" s="67" t="s">
        <v>241</v>
      </c>
      <c r="Z16" s="109">
        <f ca="1">V17*$G$38</f>
        <v>18000</v>
      </c>
      <c r="AA16" s="109">
        <f t="shared" ref="AA16:AN16" ca="1" si="12">Z16*(1+$V$8)</f>
        <v>18540</v>
      </c>
      <c r="AB16" s="109">
        <f t="shared" ca="1" si="12"/>
        <v>19096.2</v>
      </c>
      <c r="AC16" s="109">
        <f t="shared" ca="1" si="12"/>
        <v>19669.086000000003</v>
      </c>
      <c r="AD16" s="109">
        <f t="shared" ca="1" si="12"/>
        <v>20259.158580000003</v>
      </c>
      <c r="AE16" s="109">
        <f t="shared" ca="1" si="12"/>
        <v>20866.933337400005</v>
      </c>
      <c r="AF16" s="109">
        <f t="shared" ca="1" si="12"/>
        <v>21492.941337522007</v>
      </c>
      <c r="AG16" s="109">
        <f t="shared" ca="1" si="12"/>
        <v>22137.729577647668</v>
      </c>
      <c r="AH16" s="109">
        <f t="shared" ca="1" si="12"/>
        <v>22801.861464977097</v>
      </c>
      <c r="AI16" s="109">
        <f t="shared" ca="1" si="12"/>
        <v>23485.917308926411</v>
      </c>
      <c r="AJ16" s="109">
        <f t="shared" ca="1" si="12"/>
        <v>24190.494828194205</v>
      </c>
      <c r="AK16" s="109">
        <f t="shared" ca="1" si="12"/>
        <v>24916.209673040034</v>
      </c>
      <c r="AL16" s="109">
        <f t="shared" ca="1" si="12"/>
        <v>25663.695963231236</v>
      </c>
      <c r="AM16" s="109">
        <f t="shared" ca="1" si="12"/>
        <v>26433.606842128174</v>
      </c>
      <c r="AN16" s="109">
        <f t="shared" ca="1" si="12"/>
        <v>27226.615047392021</v>
      </c>
      <c r="AO16" s="114"/>
    </row>
    <row r="17" spans="1:41" ht="16.149999999999999" thickTop="1">
      <c r="B17" s="93" t="s">
        <v>242</v>
      </c>
      <c r="C17" s="130">
        <f ca="1">SUM(C14:C16)</f>
        <v>9533210.9001000002</v>
      </c>
      <c r="D17" s="130">
        <f ca="1">SUM(D14:D16)</f>
        <v>794434.24167500006</v>
      </c>
      <c r="E17" s="131">
        <f ca="1">SUM(E14:E16)</f>
        <v>1</v>
      </c>
      <c r="F17" s="117"/>
      <c r="G17" s="373">
        <f t="shared" ca="1" si="9"/>
        <v>0</v>
      </c>
      <c r="H17" s="589">
        <v>0</v>
      </c>
      <c r="I17" s="590">
        <v>0</v>
      </c>
      <c r="J17" s="592">
        <v>0</v>
      </c>
      <c r="K17" s="125" t="s">
        <v>243</v>
      </c>
      <c r="L17" s="55">
        <v>1</v>
      </c>
      <c r="M17" s="126">
        <v>1</v>
      </c>
      <c r="N17" s="132">
        <f>N15</f>
        <v>500000</v>
      </c>
      <c r="O17" s="367" t="str">
        <f ca="1">IF(G17&gt;0,VLOOKUP(M17,'Income Limits (Reference Tab)'!$B$3:$G$9,L17+2),"")</f>
        <v/>
      </c>
      <c r="P17" s="127"/>
      <c r="Q17" s="127"/>
      <c r="T17" s="67" t="s">
        <v>244</v>
      </c>
      <c r="V17" s="648">
        <v>1500</v>
      </c>
      <c r="X17" s="67" t="s">
        <v>245</v>
      </c>
      <c r="Z17" s="109">
        <f t="shared" ref="Z17:AN17" ca="1" si="13">$V$18*Z9</f>
        <v>19444.531199999998</v>
      </c>
      <c r="AA17" s="109">
        <f t="shared" ca="1" si="13"/>
        <v>20027.867136000001</v>
      </c>
      <c r="AB17" s="109">
        <f t="shared" ca="1" si="13"/>
        <v>20628.70315008</v>
      </c>
      <c r="AC17" s="109">
        <f t="shared" ca="1" si="13"/>
        <v>21247.564244582398</v>
      </c>
      <c r="AD17" s="109">
        <f t="shared" ca="1" si="13"/>
        <v>21884.991171919875</v>
      </c>
      <c r="AE17" s="109">
        <f t="shared" ca="1" si="13"/>
        <v>22541.540907077469</v>
      </c>
      <c r="AF17" s="109">
        <f t="shared" ca="1" si="13"/>
        <v>23217.787134289792</v>
      </c>
      <c r="AG17" s="109">
        <f t="shared" ca="1" si="13"/>
        <v>23914.320748318485</v>
      </c>
      <c r="AH17" s="109">
        <f t="shared" ca="1" si="13"/>
        <v>24631.750370768044</v>
      </c>
      <c r="AI17" s="109">
        <f t="shared" ca="1" si="13"/>
        <v>25370.702881891084</v>
      </c>
      <c r="AJ17" s="109">
        <f t="shared" ca="1" si="13"/>
        <v>26131.82396834782</v>
      </c>
      <c r="AK17" s="109">
        <f t="shared" ca="1" si="13"/>
        <v>26915.778687398259</v>
      </c>
      <c r="AL17" s="109">
        <f t="shared" ca="1" si="13"/>
        <v>27723.252048020204</v>
      </c>
      <c r="AM17" s="109">
        <f t="shared" ca="1" si="13"/>
        <v>28554.949609460808</v>
      </c>
      <c r="AN17" s="109">
        <f t="shared" ca="1" si="13"/>
        <v>29411.598097744634</v>
      </c>
      <c r="AO17" s="114"/>
    </row>
    <row r="18" spans="1:41" ht="15.6">
      <c r="B18" s="93"/>
      <c r="C18" s="130"/>
      <c r="D18" s="130"/>
      <c r="E18" s="131"/>
      <c r="F18" s="117"/>
      <c r="G18" s="373">
        <f t="shared" ca="1" si="9"/>
        <v>0</v>
      </c>
      <c r="H18" s="589">
        <v>0</v>
      </c>
      <c r="I18" s="590">
        <v>0</v>
      </c>
      <c r="J18" s="592">
        <v>0</v>
      </c>
      <c r="K18" s="125" t="s">
        <v>246</v>
      </c>
      <c r="L18" s="55">
        <v>1</v>
      </c>
      <c r="M18" s="126">
        <v>1.2</v>
      </c>
      <c r="N18" s="132">
        <f>N16</f>
        <v>500000</v>
      </c>
      <c r="O18" s="367" t="str">
        <f ca="1">IF(G18&gt;0,VLOOKUP(M18,'Income Limits (Reference Tab)'!$B$3:$G$9,L18+2),"")</f>
        <v/>
      </c>
      <c r="P18" s="127"/>
      <c r="Q18" s="127"/>
      <c r="T18" s="67" t="s">
        <v>247</v>
      </c>
      <c r="U18" s="86"/>
      <c r="V18" s="650">
        <v>0.08</v>
      </c>
      <c r="X18" s="67" t="s">
        <v>248</v>
      </c>
      <c r="Z18" s="109">
        <f ca="1">V19*$G$38</f>
        <v>3600</v>
      </c>
      <c r="AA18" s="109">
        <f t="shared" ref="AA18:AN18" ca="1" si="14">Z18*(1+$V$8)</f>
        <v>3708</v>
      </c>
      <c r="AB18" s="109">
        <f t="shared" ca="1" si="14"/>
        <v>3819.2400000000002</v>
      </c>
      <c r="AC18" s="109">
        <f t="shared" ca="1" si="14"/>
        <v>3933.8172000000004</v>
      </c>
      <c r="AD18" s="109">
        <f t="shared" ca="1" si="14"/>
        <v>4051.8317160000006</v>
      </c>
      <c r="AE18" s="109">
        <f t="shared" ca="1" si="14"/>
        <v>4173.3866674800011</v>
      </c>
      <c r="AF18" s="109">
        <f t="shared" ca="1" si="14"/>
        <v>4298.5882675044013</v>
      </c>
      <c r="AG18" s="109">
        <f t="shared" ca="1" si="14"/>
        <v>4427.5459155295339</v>
      </c>
      <c r="AH18" s="109">
        <f t="shared" ca="1" si="14"/>
        <v>4560.3722929954201</v>
      </c>
      <c r="AI18" s="109">
        <f t="shared" ca="1" si="14"/>
        <v>4697.1834617852828</v>
      </c>
      <c r="AJ18" s="109">
        <f t="shared" ca="1" si="14"/>
        <v>4838.098965638841</v>
      </c>
      <c r="AK18" s="109">
        <f t="shared" ca="1" si="14"/>
        <v>4983.241934608006</v>
      </c>
      <c r="AL18" s="109">
        <f t="shared" ca="1" si="14"/>
        <v>5132.739192646246</v>
      </c>
      <c r="AM18" s="109">
        <f t="shared" ca="1" si="14"/>
        <v>5286.721368425634</v>
      </c>
      <c r="AN18" s="109">
        <f t="shared" ca="1" si="14"/>
        <v>5445.323009478403</v>
      </c>
      <c r="AO18" s="114"/>
    </row>
    <row r="19" spans="1:41" s="86" customFormat="1" ht="15.6">
      <c r="A19" s="51"/>
      <c r="B19" s="455" t="s">
        <v>249</v>
      </c>
      <c r="C19" s="836" t="s">
        <v>250</v>
      </c>
      <c r="D19" s="456" t="s">
        <v>223</v>
      </c>
      <c r="E19" s="457" t="s">
        <v>251</v>
      </c>
      <c r="F19" s="136"/>
      <c r="G19" s="373">
        <f t="shared" ca="1" si="9"/>
        <v>0</v>
      </c>
      <c r="H19" s="596">
        <v>0</v>
      </c>
      <c r="I19" s="597">
        <v>0</v>
      </c>
      <c r="J19" s="598">
        <v>3</v>
      </c>
      <c r="K19" s="407" t="s">
        <v>252</v>
      </c>
      <c r="L19" s="327">
        <v>1</v>
      </c>
      <c r="M19" s="327" t="s">
        <v>218</v>
      </c>
      <c r="N19" s="408">
        <f>N15</f>
        <v>500000</v>
      </c>
      <c r="O19" s="409" t="str">
        <f ca="1">IF(G19&gt;0,VLOOKUP(M19,'Income Limits (Reference Tab)'!$B$3:$G$9,L19+2),"")</f>
        <v/>
      </c>
      <c r="P19" s="127"/>
      <c r="Q19" s="137"/>
      <c r="T19" s="67" t="s">
        <v>253</v>
      </c>
      <c r="U19" s="51"/>
      <c r="V19" s="648">
        <v>300</v>
      </c>
      <c r="W19" s="51"/>
      <c r="X19" s="67" t="s">
        <v>254</v>
      </c>
      <c r="Y19" s="51"/>
      <c r="Z19" s="109">
        <f ca="1">V20*$G$38</f>
        <v>18000</v>
      </c>
      <c r="AA19" s="109">
        <f t="shared" ref="AA19:AN19" ca="1" si="15">Z19*(1+$V$8)</f>
        <v>18540</v>
      </c>
      <c r="AB19" s="109">
        <f t="shared" ca="1" si="15"/>
        <v>19096.2</v>
      </c>
      <c r="AC19" s="109">
        <f t="shared" ca="1" si="15"/>
        <v>19669.086000000003</v>
      </c>
      <c r="AD19" s="109">
        <f t="shared" ca="1" si="15"/>
        <v>20259.158580000003</v>
      </c>
      <c r="AE19" s="109">
        <f t="shared" ca="1" si="15"/>
        <v>20866.933337400005</v>
      </c>
      <c r="AF19" s="109">
        <f t="shared" ca="1" si="15"/>
        <v>21492.941337522007</v>
      </c>
      <c r="AG19" s="109">
        <f t="shared" ca="1" si="15"/>
        <v>22137.729577647668</v>
      </c>
      <c r="AH19" s="109">
        <f t="shared" ca="1" si="15"/>
        <v>22801.861464977097</v>
      </c>
      <c r="AI19" s="109">
        <f t="shared" ca="1" si="15"/>
        <v>23485.917308926411</v>
      </c>
      <c r="AJ19" s="109">
        <f t="shared" ca="1" si="15"/>
        <v>24190.494828194205</v>
      </c>
      <c r="AK19" s="109">
        <f t="shared" ca="1" si="15"/>
        <v>24916.209673040034</v>
      </c>
      <c r="AL19" s="109">
        <f t="shared" ca="1" si="15"/>
        <v>25663.695963231236</v>
      </c>
      <c r="AM19" s="109">
        <f t="shared" ca="1" si="15"/>
        <v>26433.606842128174</v>
      </c>
      <c r="AN19" s="109">
        <f t="shared" ca="1" si="15"/>
        <v>27226.615047392021</v>
      </c>
      <c r="AO19" s="138"/>
    </row>
    <row r="20" spans="1:41" ht="15">
      <c r="B20" s="91" t="str">
        <f>L45</f>
        <v>Acq/Rehab Senior Loan</v>
      </c>
      <c r="C20" s="115">
        <f ca="1">M46*I85</f>
        <v>7149908.1750750002</v>
      </c>
      <c r="D20" s="115">
        <f ca="1">IF($G$38&gt;0,C20/$G$38,0)</f>
        <v>595825.68125625001</v>
      </c>
      <c r="E20" s="116">
        <f t="shared" ref="E20:E29" ca="1" si="16">C20/$C$30</f>
        <v>0.50175117532203806</v>
      </c>
      <c r="F20" s="117"/>
      <c r="G20" s="406">
        <f t="shared" ca="1" si="9"/>
        <v>0</v>
      </c>
      <c r="H20" s="586">
        <v>0</v>
      </c>
      <c r="I20" s="587">
        <v>0</v>
      </c>
      <c r="J20" s="588">
        <v>3</v>
      </c>
      <c r="K20" s="379" t="s">
        <v>255</v>
      </c>
      <c r="L20" s="235">
        <v>2</v>
      </c>
      <c r="M20" s="380">
        <v>0.5</v>
      </c>
      <c r="N20" s="602">
        <v>700000</v>
      </c>
      <c r="O20" s="381" t="str">
        <f ca="1">IF(G20&gt;0,VLOOKUP(M20,'Income Limits (Reference Tab)'!$B$3:$G$9,L20+2),"")</f>
        <v/>
      </c>
      <c r="P20" s="127"/>
      <c r="Q20" s="127"/>
      <c r="T20" s="67" t="s">
        <v>256</v>
      </c>
      <c r="V20" s="648">
        <v>1500</v>
      </c>
      <c r="W20" s="86"/>
      <c r="X20" s="67" t="s">
        <v>257</v>
      </c>
      <c r="Z20" s="109">
        <f ca="1">V21*$G$38</f>
        <v>2400</v>
      </c>
      <c r="AA20" s="109">
        <f t="shared" ref="AA20:AN20" ca="1" si="17">Z20*(1+$V$8)</f>
        <v>2472</v>
      </c>
      <c r="AB20" s="109">
        <f t="shared" ca="1" si="17"/>
        <v>2546.16</v>
      </c>
      <c r="AC20" s="109">
        <f t="shared" ca="1" si="17"/>
        <v>2622.5448000000001</v>
      </c>
      <c r="AD20" s="109">
        <f t="shared" ca="1" si="17"/>
        <v>2701.2211440000001</v>
      </c>
      <c r="AE20" s="109">
        <f t="shared" ca="1" si="17"/>
        <v>2782.2577783199999</v>
      </c>
      <c r="AF20" s="109">
        <f t="shared" ca="1" si="17"/>
        <v>2865.7255116696001</v>
      </c>
      <c r="AG20" s="109">
        <f t="shared" ca="1" si="17"/>
        <v>2951.697277019688</v>
      </c>
      <c r="AH20" s="109">
        <f t="shared" ca="1" si="17"/>
        <v>3040.2481953302786</v>
      </c>
      <c r="AI20" s="109">
        <f t="shared" ca="1" si="17"/>
        <v>3131.4556411901872</v>
      </c>
      <c r="AJ20" s="109">
        <f t="shared" ca="1" si="17"/>
        <v>3225.399310425893</v>
      </c>
      <c r="AK20" s="109">
        <f t="shared" ca="1" si="17"/>
        <v>3322.1612897386699</v>
      </c>
      <c r="AL20" s="109">
        <f t="shared" ca="1" si="17"/>
        <v>3421.8261284308301</v>
      </c>
      <c r="AM20" s="109">
        <f t="shared" ca="1" si="17"/>
        <v>3524.4809122837551</v>
      </c>
      <c r="AN20" s="109">
        <f t="shared" ca="1" si="17"/>
        <v>3630.2153396522676</v>
      </c>
      <c r="AO20" s="114"/>
    </row>
    <row r="21" spans="1:41">
      <c r="B21" s="91" t="str">
        <f>L52</f>
        <v>Subordinate Loan #1 (IO-&gt;P&amp;I)</v>
      </c>
      <c r="C21" s="115">
        <f ca="1">M53</f>
        <v>50000</v>
      </c>
      <c r="D21" s="115">
        <f t="shared" ref="D21:D29" ca="1" si="18">IF($G$38&gt;0,C21/$G$38,0)</f>
        <v>4166.666666666667</v>
      </c>
      <c r="E21" s="116">
        <f t="shared" ca="1" si="16"/>
        <v>3.5087945399856473E-3</v>
      </c>
      <c r="F21" s="117"/>
      <c r="G21" s="373">
        <f t="shared" ca="1" si="9"/>
        <v>0</v>
      </c>
      <c r="H21" s="589">
        <v>0</v>
      </c>
      <c r="I21" s="590">
        <v>2</v>
      </c>
      <c r="J21" s="592">
        <v>0</v>
      </c>
      <c r="K21" s="125" t="s">
        <v>258</v>
      </c>
      <c r="L21" s="55">
        <v>2</v>
      </c>
      <c r="M21" s="126">
        <v>0.6</v>
      </c>
      <c r="N21" s="132">
        <f>N20</f>
        <v>700000</v>
      </c>
      <c r="O21" s="367" t="str">
        <f ca="1">IF(G21&gt;0,VLOOKUP(M21,'Income Limits (Reference Tab)'!$B$3:$G$9,L21+2),"")</f>
        <v/>
      </c>
      <c r="P21" s="127"/>
      <c r="Q21" s="127"/>
      <c r="T21" s="98" t="s">
        <v>259</v>
      </c>
      <c r="U21" s="170"/>
      <c r="V21" s="651">
        <v>200</v>
      </c>
      <c r="X21" s="484" t="s">
        <v>260</v>
      </c>
      <c r="Y21" s="827"/>
      <c r="Z21" s="485">
        <f t="shared" ref="Z21:AN21" ca="1" si="19">SUM(Z12:Z20)</f>
        <v>184160.5312</v>
      </c>
      <c r="AA21" s="485">
        <f t="shared" ca="1" si="19"/>
        <v>189685.347136</v>
      </c>
      <c r="AB21" s="485">
        <f t="shared" ca="1" si="19"/>
        <v>115337.28955008002</v>
      </c>
      <c r="AC21" s="485">
        <f t="shared" ca="1" si="19"/>
        <v>118797.40823658241</v>
      </c>
      <c r="AD21" s="485">
        <f t="shared" ca="1" si="19"/>
        <v>122361.33048367989</v>
      </c>
      <c r="AE21" s="485">
        <f t="shared" ca="1" si="19"/>
        <v>126032.17039819027</v>
      </c>
      <c r="AF21" s="485">
        <f t="shared" ca="1" si="19"/>
        <v>129813.13551013599</v>
      </c>
      <c r="AG21" s="485">
        <f t="shared" ca="1" si="19"/>
        <v>133707.5295754401</v>
      </c>
      <c r="AH21" s="485">
        <f t="shared" ca="1" si="19"/>
        <v>137718.7554627033</v>
      </c>
      <c r="AI21" s="485">
        <f t="shared" ca="1" si="19"/>
        <v>141850.3181265844</v>
      </c>
      <c r="AJ21" s="485">
        <f t="shared" ca="1" si="19"/>
        <v>146105.8276703819</v>
      </c>
      <c r="AK21" s="485">
        <f t="shared" ca="1" si="19"/>
        <v>150489.00250049337</v>
      </c>
      <c r="AL21" s="485">
        <f t="shared" ca="1" si="19"/>
        <v>155003.67257550822</v>
      </c>
      <c r="AM21" s="485">
        <f t="shared" ca="1" si="19"/>
        <v>159653.78275277343</v>
      </c>
      <c r="AN21" s="485">
        <f t="shared" ca="1" si="19"/>
        <v>164443.39623535666</v>
      </c>
      <c r="AO21" s="114"/>
    </row>
    <row r="22" spans="1:41">
      <c r="B22" s="91" t="str">
        <f>L61</f>
        <v>Subordinate Loan #2 (residual receipts)</v>
      </c>
      <c r="C22" s="115">
        <f ca="1">M64</f>
        <v>200000</v>
      </c>
      <c r="D22" s="115">
        <f t="shared" ca="1" si="18"/>
        <v>16666.666666666668</v>
      </c>
      <c r="E22" s="116">
        <f t="shared" ca="1" si="16"/>
        <v>1.4035178159942589E-2</v>
      </c>
      <c r="F22" s="117"/>
      <c r="G22" s="373">
        <f t="shared" ca="1" si="9"/>
        <v>4</v>
      </c>
      <c r="H22" s="589">
        <v>4</v>
      </c>
      <c r="I22" s="590">
        <v>2</v>
      </c>
      <c r="J22" s="592">
        <v>0</v>
      </c>
      <c r="K22" s="125" t="s">
        <v>261</v>
      </c>
      <c r="L22" s="55">
        <v>2</v>
      </c>
      <c r="M22" s="126">
        <v>0.8</v>
      </c>
      <c r="N22" s="132">
        <f>N20</f>
        <v>700000</v>
      </c>
      <c r="O22" s="367">
        <f ca="1">IF(G22&gt;0,VLOOKUP(M22,'Income Limits (Reference Tab)'!$B$3:$G$9,L22+2),"")</f>
        <v>1841</v>
      </c>
      <c r="P22" s="127"/>
      <c r="Q22" s="127"/>
      <c r="S22" s="55"/>
      <c r="T22" s="51"/>
      <c r="X22" s="133"/>
      <c r="Y22" s="111"/>
      <c r="Z22" s="134"/>
      <c r="AA22" s="134"/>
      <c r="AB22" s="134"/>
      <c r="AC22" s="134"/>
      <c r="AD22" s="134"/>
      <c r="AE22" s="134"/>
      <c r="AF22" s="134"/>
      <c r="AG22" s="134"/>
      <c r="AH22" s="134"/>
      <c r="AI22" s="134"/>
      <c r="AJ22" s="134"/>
      <c r="AK22" s="134"/>
      <c r="AL22" s="134"/>
      <c r="AM22" s="134"/>
      <c r="AN22" s="134"/>
      <c r="AO22" s="114"/>
    </row>
    <row r="23" spans="1:41" ht="14.45" thickBot="1">
      <c r="B23" s="91" t="str">
        <f>L69</f>
        <v>Subordinate Loan #3 (residual receipts)</v>
      </c>
      <c r="C23" s="115">
        <f ca="1">M72</f>
        <v>400000</v>
      </c>
      <c r="D23" s="115">
        <f t="shared" ca="1" si="18"/>
        <v>33333.333333333336</v>
      </c>
      <c r="E23" s="116">
        <f t="shared" ca="1" si="16"/>
        <v>2.8070356319885179E-2</v>
      </c>
      <c r="F23" s="117"/>
      <c r="G23" s="373">
        <f t="shared" ca="1" si="9"/>
        <v>0</v>
      </c>
      <c r="H23" s="589">
        <v>0</v>
      </c>
      <c r="I23" s="590">
        <v>0</v>
      </c>
      <c r="J23" s="592">
        <v>0</v>
      </c>
      <c r="K23" s="125" t="s">
        <v>262</v>
      </c>
      <c r="L23" s="55">
        <v>2</v>
      </c>
      <c r="M23" s="126">
        <v>1</v>
      </c>
      <c r="N23" s="132">
        <f>N21</f>
        <v>700000</v>
      </c>
      <c r="O23" s="367" t="str">
        <f ca="1">IF(G23&gt;0,VLOOKUP(M23,'Income Limits (Reference Tab)'!$B$3:$G$9,L23+2),"")</f>
        <v/>
      </c>
      <c r="P23" s="127"/>
      <c r="Q23" s="127"/>
      <c r="S23" s="55"/>
      <c r="T23" s="51"/>
      <c r="X23" s="143" t="s">
        <v>263</v>
      </c>
      <c r="Y23" s="828"/>
      <c r="Z23" s="144">
        <f ca="1">Z9-Z21</f>
        <v>58896.108799999987</v>
      </c>
      <c r="AA23" s="144">
        <f t="shared" ref="AA23:AN23" ca="1" si="20">AA9-AA21</f>
        <v>60662.99206400002</v>
      </c>
      <c r="AB23" s="144">
        <f t="shared" ca="1" si="20"/>
        <v>142521.49982591998</v>
      </c>
      <c r="AC23" s="144">
        <f t="shared" ca="1" si="20"/>
        <v>146797.14482069755</v>
      </c>
      <c r="AD23" s="144">
        <f t="shared" ca="1" si="20"/>
        <v>151201.05916531855</v>
      </c>
      <c r="AE23" s="144">
        <f t="shared" ca="1" si="20"/>
        <v>155737.09094027808</v>
      </c>
      <c r="AF23" s="144">
        <f t="shared" ca="1" si="20"/>
        <v>160409.20366848641</v>
      </c>
      <c r="AG23" s="144">
        <f t="shared" ca="1" si="20"/>
        <v>165221.47977854096</v>
      </c>
      <c r="AH23" s="144">
        <f t="shared" ca="1" si="20"/>
        <v>170178.12417189725</v>
      </c>
      <c r="AI23" s="144">
        <f t="shared" ca="1" si="20"/>
        <v>175283.46789705416</v>
      </c>
      <c r="AJ23" s="144">
        <f t="shared" ca="1" si="20"/>
        <v>180541.97193396583</v>
      </c>
      <c r="AK23" s="144">
        <f t="shared" ca="1" si="20"/>
        <v>185958.23109198484</v>
      </c>
      <c r="AL23" s="144">
        <f t="shared" ca="1" si="20"/>
        <v>191536.97802474434</v>
      </c>
      <c r="AM23" s="144">
        <f t="shared" ca="1" si="20"/>
        <v>197283.08736548666</v>
      </c>
      <c r="AN23" s="144">
        <f t="shared" ca="1" si="20"/>
        <v>203201.57998645128</v>
      </c>
      <c r="AO23" s="114"/>
    </row>
    <row r="24" spans="1:41" ht="18.399999999999999" customHeight="1" thickTop="1">
      <c r="B24" s="91" t="str">
        <f>L77</f>
        <v>Subordinate Loan #4 (residual receipts)</v>
      </c>
      <c r="C24" s="115">
        <f ca="1">M80</f>
        <v>300000</v>
      </c>
      <c r="D24" s="115">
        <f t="shared" ca="1" si="18"/>
        <v>25000</v>
      </c>
      <c r="E24" s="116">
        <f t="shared" ca="1" si="16"/>
        <v>2.1052767239913884E-2</v>
      </c>
      <c r="F24" s="117"/>
      <c r="G24" s="373">
        <f t="shared" ca="1" si="9"/>
        <v>0</v>
      </c>
      <c r="H24" s="589">
        <v>0</v>
      </c>
      <c r="I24" s="590">
        <v>0</v>
      </c>
      <c r="J24" s="592">
        <v>0</v>
      </c>
      <c r="K24" s="125" t="s">
        <v>264</v>
      </c>
      <c r="L24" s="55">
        <v>2</v>
      </c>
      <c r="M24" s="126">
        <v>1.2</v>
      </c>
      <c r="N24" s="132">
        <f>N22</f>
        <v>700000</v>
      </c>
      <c r="O24" s="367" t="str">
        <f ca="1">IF(G24&gt;0,VLOOKUP(M24,'Income Limits (Reference Tab)'!$B$3:$G$9,L24+2),"")</f>
        <v/>
      </c>
      <c r="P24" s="127"/>
      <c r="Q24" s="127"/>
      <c r="S24" s="55"/>
      <c r="T24" s="51"/>
      <c r="X24" s="67"/>
      <c r="AO24" s="114"/>
    </row>
    <row r="25" spans="1:41" ht="17.45">
      <c r="B25" s="91" t="str">
        <f>L88</f>
        <v>Rehab Tax Credits</v>
      </c>
      <c r="C25" s="115">
        <f ca="1">M89*M90*M91</f>
        <v>0</v>
      </c>
      <c r="D25" s="115">
        <f t="shared" ca="1" si="18"/>
        <v>0</v>
      </c>
      <c r="E25" s="116">
        <f t="shared" ca="1" si="16"/>
        <v>0</v>
      </c>
      <c r="F25" s="117"/>
      <c r="G25" s="374">
        <f t="shared" ca="1" si="9"/>
        <v>0</v>
      </c>
      <c r="H25" s="596">
        <v>0</v>
      </c>
      <c r="I25" s="597">
        <v>0</v>
      </c>
      <c r="J25" s="598">
        <v>0</v>
      </c>
      <c r="K25" s="407" t="s">
        <v>265</v>
      </c>
      <c r="L25" s="327">
        <v>2</v>
      </c>
      <c r="M25" s="327" t="s">
        <v>218</v>
      </c>
      <c r="N25" s="408">
        <f>N21</f>
        <v>700000</v>
      </c>
      <c r="O25" s="409" t="str">
        <f ca="1">IF(G25&gt;0,VLOOKUP(M25,'Income Limits (Reference Tab)'!$B$3:$G$9,L25+2),"")</f>
        <v/>
      </c>
      <c r="P25" s="137"/>
      <c r="Q25" s="127"/>
      <c r="R25" s="447" t="s">
        <v>266</v>
      </c>
      <c r="S25" s="32" t="s">
        <v>171</v>
      </c>
      <c r="T25" s="599">
        <v>1</v>
      </c>
      <c r="U25" s="106"/>
      <c r="V25" s="155"/>
      <c r="X25" s="816" t="s">
        <v>267</v>
      </c>
      <c r="Y25" s="825"/>
      <c r="AO25" s="114"/>
    </row>
    <row r="26" spans="1:41">
      <c r="B26" s="91" t="str">
        <f>L94</f>
        <v>Sponsor Equity</v>
      </c>
      <c r="C26" s="115">
        <f ca="1">M95</f>
        <v>150000</v>
      </c>
      <c r="D26" s="115">
        <f t="shared" ca="1" si="18"/>
        <v>12500</v>
      </c>
      <c r="E26" s="116">
        <f t="shared" ca="1" si="16"/>
        <v>1.0526383619956942E-2</v>
      </c>
      <c r="F26" s="117"/>
      <c r="G26" s="406">
        <f t="shared" ca="1" si="9"/>
        <v>0</v>
      </c>
      <c r="H26" s="586">
        <v>0</v>
      </c>
      <c r="I26" s="587">
        <v>0</v>
      </c>
      <c r="J26" s="588">
        <v>3</v>
      </c>
      <c r="K26" s="379" t="s">
        <v>268</v>
      </c>
      <c r="L26" s="235">
        <v>3</v>
      </c>
      <c r="M26" s="380">
        <v>0.5</v>
      </c>
      <c r="N26" s="602">
        <v>900000</v>
      </c>
      <c r="O26" s="381" t="str">
        <f ca="1">IF(G26&gt;0,VLOOKUP(M26,'Income Limits (Reference Tab)'!$B$3:$G$9,L26+2),"")</f>
        <v/>
      </c>
      <c r="P26" s="127"/>
      <c r="Q26" s="127"/>
      <c r="R26" s="53"/>
      <c r="S26" s="505" t="s">
        <v>181</v>
      </c>
      <c r="T26" s="64">
        <v>1</v>
      </c>
      <c r="U26" s="18">
        <v>2</v>
      </c>
      <c r="V26" s="17">
        <v>3</v>
      </c>
      <c r="X26" s="67" t="str">
        <f>R67</f>
        <v>Additional Sponsor Equity</v>
      </c>
      <c r="Z26" s="109">
        <f t="shared" ref="Z26:AN26" ca="1" si="21">IF($S$69=Z4,$S$68,0)</f>
        <v>0</v>
      </c>
      <c r="AA26" s="109">
        <f t="shared" ca="1" si="21"/>
        <v>0</v>
      </c>
      <c r="AB26" s="109">
        <f t="shared" ca="1" si="21"/>
        <v>0</v>
      </c>
      <c r="AC26" s="109">
        <f t="shared" ca="1" si="21"/>
        <v>0</v>
      </c>
      <c r="AD26" s="109">
        <f t="shared" ca="1" si="21"/>
        <v>200000</v>
      </c>
      <c r="AE26" s="109">
        <f t="shared" ca="1" si="21"/>
        <v>0</v>
      </c>
      <c r="AF26" s="109">
        <f t="shared" ca="1" si="21"/>
        <v>0</v>
      </c>
      <c r="AG26" s="109">
        <f t="shared" ca="1" si="21"/>
        <v>0</v>
      </c>
      <c r="AH26" s="109">
        <f t="shared" ca="1" si="21"/>
        <v>0</v>
      </c>
      <c r="AI26" s="109">
        <f t="shared" ca="1" si="21"/>
        <v>0</v>
      </c>
      <c r="AJ26" s="109">
        <f t="shared" ca="1" si="21"/>
        <v>0</v>
      </c>
      <c r="AK26" s="109">
        <f t="shared" ca="1" si="21"/>
        <v>0</v>
      </c>
      <c r="AL26" s="109">
        <f t="shared" ca="1" si="21"/>
        <v>0</v>
      </c>
      <c r="AM26" s="109">
        <f t="shared" ca="1" si="21"/>
        <v>0</v>
      </c>
      <c r="AN26" s="109">
        <f t="shared" ca="1" si="21"/>
        <v>0</v>
      </c>
      <c r="AO26" s="114"/>
    </row>
    <row r="27" spans="1:41" ht="14.45" thickBot="1">
      <c r="B27" s="91" t="str">
        <f>L98</f>
        <v>Grant Type #1</v>
      </c>
      <c r="C27" s="115">
        <f ca="1">M99</f>
        <v>3000000</v>
      </c>
      <c r="D27" s="115">
        <f t="shared" ca="1" si="18"/>
        <v>250000</v>
      </c>
      <c r="E27" s="116">
        <f t="shared" ca="1" si="16"/>
        <v>0.21052767239913883</v>
      </c>
      <c r="F27" s="117"/>
      <c r="G27" s="373">
        <f t="shared" ca="1" si="9"/>
        <v>0</v>
      </c>
      <c r="H27" s="589">
        <v>0</v>
      </c>
      <c r="I27" s="590">
        <v>2</v>
      </c>
      <c r="J27" s="592">
        <v>0</v>
      </c>
      <c r="K27" s="125" t="s">
        <v>269</v>
      </c>
      <c r="L27" s="55">
        <v>3</v>
      </c>
      <c r="M27" s="126">
        <v>0.6</v>
      </c>
      <c r="N27" s="132">
        <f>N26</f>
        <v>900000</v>
      </c>
      <c r="O27" s="367" t="str">
        <f ca="1">IF(G27&gt;0,VLOOKUP(M27,'Income Limits (Reference Tab)'!$B$3:$G$9,L27+2),"")</f>
        <v/>
      </c>
      <c r="P27" s="127"/>
      <c r="Q27" s="127"/>
      <c r="R27" s="53"/>
      <c r="S27" s="504" t="s">
        <v>186</v>
      </c>
      <c r="T27" s="652" t="s">
        <v>270</v>
      </c>
      <c r="U27" s="653" t="s">
        <v>271</v>
      </c>
      <c r="V27" s="654" t="s">
        <v>272</v>
      </c>
      <c r="X27" s="67" t="str">
        <f>R72</f>
        <v>Grant Type #4 - Ongoing Subsidy</v>
      </c>
      <c r="Z27" s="109">
        <f t="shared" ref="Z27:AN27" ca="1" si="22">IF(Z4&lt;$S$74,0,$S$73)</f>
        <v>0</v>
      </c>
      <c r="AA27" s="109">
        <f t="shared" ca="1" si="22"/>
        <v>0</v>
      </c>
      <c r="AB27" s="109">
        <f t="shared" ca="1" si="22"/>
        <v>0</v>
      </c>
      <c r="AC27" s="109">
        <f t="shared" ca="1" si="22"/>
        <v>0</v>
      </c>
      <c r="AD27" s="109">
        <f t="shared" ca="1" si="22"/>
        <v>0</v>
      </c>
      <c r="AE27" s="109">
        <f t="shared" ca="1" si="22"/>
        <v>100000</v>
      </c>
      <c r="AF27" s="109">
        <f t="shared" ca="1" si="22"/>
        <v>100000</v>
      </c>
      <c r="AG27" s="109">
        <f t="shared" ca="1" si="22"/>
        <v>100000</v>
      </c>
      <c r="AH27" s="109">
        <f t="shared" ca="1" si="22"/>
        <v>100000</v>
      </c>
      <c r="AI27" s="109">
        <f t="shared" ca="1" si="22"/>
        <v>100000</v>
      </c>
      <c r="AJ27" s="109">
        <f t="shared" ca="1" si="22"/>
        <v>100000</v>
      </c>
      <c r="AK27" s="109">
        <f t="shared" ca="1" si="22"/>
        <v>100000</v>
      </c>
      <c r="AL27" s="109">
        <f t="shared" ca="1" si="22"/>
        <v>100000</v>
      </c>
      <c r="AM27" s="109">
        <f t="shared" ca="1" si="22"/>
        <v>100000</v>
      </c>
      <c r="AN27" s="109">
        <f t="shared" ca="1" si="22"/>
        <v>100000</v>
      </c>
      <c r="AO27" s="114"/>
    </row>
    <row r="28" spans="1:41">
      <c r="B28" s="91" t="str">
        <f>L102</f>
        <v>Grant Type #2</v>
      </c>
      <c r="C28" s="115">
        <f ca="1">M103</f>
        <v>2000000</v>
      </c>
      <c r="D28" s="115">
        <f t="shared" ca="1" si="18"/>
        <v>166666.66666666666</v>
      </c>
      <c r="E28" s="116">
        <f t="shared" ca="1" si="16"/>
        <v>0.14035178159942588</v>
      </c>
      <c r="F28" s="147"/>
      <c r="G28" s="373">
        <f t="shared" ca="1" si="9"/>
        <v>4</v>
      </c>
      <c r="H28" s="589">
        <v>4</v>
      </c>
      <c r="I28" s="590">
        <v>2</v>
      </c>
      <c r="J28" s="592">
        <v>0</v>
      </c>
      <c r="K28" s="125" t="s">
        <v>273</v>
      </c>
      <c r="L28" s="55">
        <v>3</v>
      </c>
      <c r="M28" s="126">
        <v>0.8</v>
      </c>
      <c r="N28" s="132">
        <f>N26</f>
        <v>900000</v>
      </c>
      <c r="O28" s="367">
        <f ca="1">IF(G28&gt;0,VLOOKUP(M28,'Income Limits (Reference Tab)'!$B$3:$G$9,L28+2),"")</f>
        <v>2128</v>
      </c>
      <c r="P28" s="127"/>
      <c r="Q28" s="127"/>
      <c r="R28" s="54" t="s">
        <v>274</v>
      </c>
      <c r="S28" s="58"/>
      <c r="T28" s="164"/>
      <c r="U28" s="167"/>
      <c r="V28" s="165"/>
      <c r="X28" s="484" t="s">
        <v>275</v>
      </c>
      <c r="Y28" s="827"/>
      <c r="Z28" s="485">
        <f ca="1">SUM(Z26:Z27)</f>
        <v>0</v>
      </c>
      <c r="AA28" s="485">
        <f t="shared" ref="AA28:AN28" ca="1" si="23">SUM(AA26:AA27)</f>
        <v>0</v>
      </c>
      <c r="AB28" s="485">
        <f t="shared" ca="1" si="23"/>
        <v>0</v>
      </c>
      <c r="AC28" s="485">
        <f t="shared" ca="1" si="23"/>
        <v>0</v>
      </c>
      <c r="AD28" s="485">
        <f t="shared" ca="1" si="23"/>
        <v>200000</v>
      </c>
      <c r="AE28" s="485">
        <f t="shared" ca="1" si="23"/>
        <v>100000</v>
      </c>
      <c r="AF28" s="485">
        <f t="shared" ca="1" si="23"/>
        <v>100000</v>
      </c>
      <c r="AG28" s="485">
        <f t="shared" ca="1" si="23"/>
        <v>100000</v>
      </c>
      <c r="AH28" s="485">
        <f t="shared" ca="1" si="23"/>
        <v>100000</v>
      </c>
      <c r="AI28" s="485">
        <f t="shared" ca="1" si="23"/>
        <v>100000</v>
      </c>
      <c r="AJ28" s="485">
        <f t="shared" ca="1" si="23"/>
        <v>100000</v>
      </c>
      <c r="AK28" s="485">
        <f t="shared" ca="1" si="23"/>
        <v>100000</v>
      </c>
      <c r="AL28" s="485">
        <f t="shared" ca="1" si="23"/>
        <v>100000</v>
      </c>
      <c r="AM28" s="485">
        <f t="shared" ca="1" si="23"/>
        <v>100000</v>
      </c>
      <c r="AN28" s="485">
        <f t="shared" ca="1" si="23"/>
        <v>100000</v>
      </c>
      <c r="AO28" s="114"/>
    </row>
    <row r="29" spans="1:41" ht="15.4" customHeight="1" thickBot="1">
      <c r="B29" s="92" t="str">
        <f>L106</f>
        <v>Grant Type #3</v>
      </c>
      <c r="C29" s="123">
        <f ca="1">M107</f>
        <v>1000000</v>
      </c>
      <c r="D29" s="123">
        <f t="shared" ca="1" si="18"/>
        <v>83333.333333333328</v>
      </c>
      <c r="E29" s="124">
        <f t="shared" ca="1" si="16"/>
        <v>7.0175890799712939E-2</v>
      </c>
      <c r="F29" s="116"/>
      <c r="G29" s="373">
        <f t="shared" ca="1" si="9"/>
        <v>0</v>
      </c>
      <c r="H29" s="589">
        <v>0</v>
      </c>
      <c r="I29" s="590">
        <v>0</v>
      </c>
      <c r="J29" s="592">
        <v>0</v>
      </c>
      <c r="K29" s="125" t="s">
        <v>276</v>
      </c>
      <c r="L29" s="55">
        <v>3</v>
      </c>
      <c r="M29" s="126">
        <v>1</v>
      </c>
      <c r="N29" s="132">
        <f>N27</f>
        <v>900000</v>
      </c>
      <c r="O29" s="367" t="str">
        <f ca="1">IF(G29&gt;0,VLOOKUP(M29,'Income Limits (Reference Tab)'!$B$3:$G$9,L29+2),"")</f>
        <v/>
      </c>
      <c r="P29" s="127"/>
      <c r="Q29" s="127"/>
      <c r="R29" s="11" t="s">
        <v>277</v>
      </c>
      <c r="S29" s="23">
        <f t="shared" ref="S29:S35" ca="1" si="24">IF(ISBLANK(OFFSET(S29,0,$T$25)),$T29,OFFSET(S29,0,$T$25))</f>
        <v>0.75</v>
      </c>
      <c r="T29" s="655">
        <v>0.75</v>
      </c>
      <c r="U29" s="656">
        <v>0.15</v>
      </c>
      <c r="V29" s="639"/>
      <c r="X29" s="67"/>
      <c r="AO29" s="114"/>
    </row>
    <row r="30" spans="1:41" ht="29.65" customHeight="1" thickTop="1">
      <c r="B30" s="93" t="s">
        <v>278</v>
      </c>
      <c r="C30" s="130">
        <f ca="1">SUM(C20:C29)</f>
        <v>14249908.175075</v>
      </c>
      <c r="D30" s="130">
        <f ca="1">SUM(D20:D29)</f>
        <v>1187492.3479229165</v>
      </c>
      <c r="E30" s="131">
        <f ca="1">SUM(E20:E29)</f>
        <v>1</v>
      </c>
      <c r="F30" s="116"/>
      <c r="G30" s="373">
        <f t="shared" ca="1" si="9"/>
        <v>0</v>
      </c>
      <c r="H30" s="589">
        <v>0</v>
      </c>
      <c r="I30" s="590">
        <v>0</v>
      </c>
      <c r="J30" s="592">
        <v>0</v>
      </c>
      <c r="K30" s="125" t="s">
        <v>279</v>
      </c>
      <c r="L30" s="55">
        <v>3</v>
      </c>
      <c r="M30" s="126">
        <v>1.2</v>
      </c>
      <c r="N30" s="132">
        <f>N28</f>
        <v>900000</v>
      </c>
      <c r="O30" s="367" t="str">
        <f ca="1">IF(G30&gt;0,VLOOKUP(M30,'Income Limits (Reference Tab)'!$B$3:$G$9,L30+2),"")</f>
        <v/>
      </c>
      <c r="P30" s="127"/>
      <c r="Q30" s="127"/>
      <c r="R30" s="12" t="s">
        <v>280</v>
      </c>
      <c r="S30" s="29">
        <f t="shared" ca="1" si="24"/>
        <v>7.4999999999999997E-2</v>
      </c>
      <c r="T30" s="657">
        <v>7.4999999999999997E-2</v>
      </c>
      <c r="U30" s="658"/>
      <c r="V30" s="620"/>
      <c r="W30" s="822" t="s">
        <v>281</v>
      </c>
      <c r="X30" s="816" t="s">
        <v>282</v>
      </c>
      <c r="Y30" s="825"/>
      <c r="AO30" s="114"/>
    </row>
    <row r="31" spans="1:41">
      <c r="B31" s="94"/>
      <c r="C31" s="135"/>
      <c r="D31" s="135"/>
      <c r="E31" s="116"/>
      <c r="F31" s="108"/>
      <c r="G31" s="374">
        <f t="shared" ca="1" si="9"/>
        <v>0</v>
      </c>
      <c r="H31" s="596">
        <v>0</v>
      </c>
      <c r="I31" s="597">
        <v>0</v>
      </c>
      <c r="J31" s="598">
        <v>3</v>
      </c>
      <c r="K31" s="407" t="s">
        <v>283</v>
      </c>
      <c r="L31" s="327">
        <v>3</v>
      </c>
      <c r="M31" s="327" t="s">
        <v>218</v>
      </c>
      <c r="N31" s="408">
        <f>N27</f>
        <v>900000</v>
      </c>
      <c r="O31" s="409" t="str">
        <f ca="1">IF(G31&gt;0,VLOOKUP(M31,'Income Limits (Reference Tab)'!$B$3:$G$9,L31+2),"")</f>
        <v/>
      </c>
      <c r="P31" s="127"/>
      <c r="Q31" s="150"/>
      <c r="R31" s="27" t="s">
        <v>284</v>
      </c>
      <c r="S31" s="29">
        <f t="shared" ca="1" si="24"/>
        <v>0.02</v>
      </c>
      <c r="T31" s="657">
        <v>0.02</v>
      </c>
      <c r="U31" s="658"/>
      <c r="V31" s="620"/>
      <c r="W31" s="823" t="s">
        <v>168</v>
      </c>
      <c r="X31" s="67" t="s">
        <v>285</v>
      </c>
      <c r="Z31" s="109">
        <f t="shared" ref="Z31:AN31" ca="1" si="25">IF($W$31="Yes",IF(-(Z23+Z28-Z35-Z39-Z41)&gt;0,MIN(Z60,-(Z23+Z28-Z35-Z39-Z41)),0),0)</f>
        <v>54712.823231721894</v>
      </c>
      <c r="AA31" s="109">
        <f t="shared" ca="1" si="25"/>
        <v>52945.939967721861</v>
      </c>
      <c r="AB31" s="109">
        <f t="shared" ca="1" si="25"/>
        <v>0</v>
      </c>
      <c r="AC31" s="109">
        <f t="shared" ca="1" si="25"/>
        <v>0</v>
      </c>
      <c r="AD31" s="109">
        <f t="shared" ca="1" si="25"/>
        <v>0</v>
      </c>
      <c r="AE31" s="109">
        <f t="shared" ca="1" si="25"/>
        <v>0</v>
      </c>
      <c r="AF31" s="109">
        <f t="shared" ca="1" si="25"/>
        <v>0</v>
      </c>
      <c r="AG31" s="109">
        <f t="shared" ca="1" si="25"/>
        <v>0</v>
      </c>
      <c r="AH31" s="109">
        <f t="shared" ca="1" si="25"/>
        <v>0</v>
      </c>
      <c r="AI31" s="109">
        <f t="shared" ca="1" si="25"/>
        <v>0</v>
      </c>
      <c r="AJ31" s="109">
        <f t="shared" ca="1" si="25"/>
        <v>0</v>
      </c>
      <c r="AK31" s="109">
        <f t="shared" ca="1" si="25"/>
        <v>0</v>
      </c>
      <c r="AL31" s="109">
        <f t="shared" ca="1" si="25"/>
        <v>0</v>
      </c>
      <c r="AM31" s="109">
        <f t="shared" ca="1" si="25"/>
        <v>0</v>
      </c>
      <c r="AN31" s="109">
        <f t="shared" ca="1" si="25"/>
        <v>0</v>
      </c>
      <c r="AO31" s="114"/>
    </row>
    <row r="32" spans="1:41" ht="15.6" thickBot="1">
      <c r="A32" s="86"/>
      <c r="B32" s="95" t="s">
        <v>286</v>
      </c>
      <c r="C32" s="139">
        <f ca="1">C30-C17</f>
        <v>4716697.2749749999</v>
      </c>
      <c r="D32" s="139">
        <f ca="1">D30-D17</f>
        <v>393058.10624791647</v>
      </c>
      <c r="E32" s="140"/>
      <c r="F32" s="117"/>
      <c r="G32" s="406">
        <f t="shared" ca="1" si="9"/>
        <v>0</v>
      </c>
      <c r="H32" s="586">
        <v>0</v>
      </c>
      <c r="I32" s="587">
        <v>0</v>
      </c>
      <c r="J32" s="587">
        <v>0</v>
      </c>
      <c r="K32" s="416" t="s">
        <v>287</v>
      </c>
      <c r="L32" s="235">
        <v>4</v>
      </c>
      <c r="M32" s="380">
        <v>0.5</v>
      </c>
      <c r="N32" s="602">
        <v>1100000</v>
      </c>
      <c r="O32" s="381" t="str">
        <f ca="1">IF(G32&gt;0,VLOOKUP(M32,'Income Limits (Reference Tab)'!$B$3:$G$9,L32+2),"")</f>
        <v/>
      </c>
      <c r="P32" s="127"/>
      <c r="R32" s="27" t="s">
        <v>288</v>
      </c>
      <c r="S32" s="59">
        <f t="shared" ca="1" si="24"/>
        <v>15</v>
      </c>
      <c r="T32" s="659">
        <v>15</v>
      </c>
      <c r="U32" s="660"/>
      <c r="V32" s="623"/>
      <c r="X32" s="837" t="s">
        <v>289</v>
      </c>
      <c r="Y32" s="838"/>
      <c r="Z32" s="839">
        <f t="shared" ref="Z32:AN32" ca="1" si="26">Z23+Z28+Z31</f>
        <v>113608.93203172188</v>
      </c>
      <c r="AA32" s="839">
        <f t="shared" ca="1" si="26"/>
        <v>113608.93203172188</v>
      </c>
      <c r="AB32" s="839">
        <f t="shared" ca="1" si="26"/>
        <v>142521.49982591998</v>
      </c>
      <c r="AC32" s="839">
        <f t="shared" ca="1" si="26"/>
        <v>146797.14482069755</v>
      </c>
      <c r="AD32" s="839">
        <f t="shared" ca="1" si="26"/>
        <v>351201.05916531855</v>
      </c>
      <c r="AE32" s="839">
        <f t="shared" ca="1" si="26"/>
        <v>255737.09094027808</v>
      </c>
      <c r="AF32" s="839">
        <f t="shared" ca="1" si="26"/>
        <v>260409.20366848641</v>
      </c>
      <c r="AG32" s="839">
        <f t="shared" ca="1" si="26"/>
        <v>265221.47977854096</v>
      </c>
      <c r="AH32" s="839">
        <f t="shared" ca="1" si="26"/>
        <v>270178.12417189725</v>
      </c>
      <c r="AI32" s="839">
        <f t="shared" ca="1" si="26"/>
        <v>275283.46789705416</v>
      </c>
      <c r="AJ32" s="839">
        <f t="shared" ca="1" si="26"/>
        <v>280541.9719339658</v>
      </c>
      <c r="AK32" s="839">
        <f t="shared" ca="1" si="26"/>
        <v>285958.23109198484</v>
      </c>
      <c r="AL32" s="839">
        <f t="shared" ca="1" si="26"/>
        <v>291536.97802474431</v>
      </c>
      <c r="AM32" s="839">
        <f t="shared" ca="1" si="26"/>
        <v>297283.08736548666</v>
      </c>
      <c r="AN32" s="839">
        <f t="shared" ca="1" si="26"/>
        <v>303201.57998645131</v>
      </c>
      <c r="AO32" s="114"/>
    </row>
    <row r="33" spans="1:42" ht="14.45" thickTop="1">
      <c r="B33" s="94"/>
      <c r="C33" s="141"/>
      <c r="D33" s="141"/>
      <c r="E33" s="142"/>
      <c r="F33" s="117"/>
      <c r="G33" s="373">
        <f t="shared" ca="1" si="9"/>
        <v>0</v>
      </c>
      <c r="H33" s="589">
        <v>0</v>
      </c>
      <c r="I33" s="590">
        <v>0</v>
      </c>
      <c r="J33" s="590">
        <v>0</v>
      </c>
      <c r="K33" s="417" t="s">
        <v>290</v>
      </c>
      <c r="L33" s="55">
        <v>4</v>
      </c>
      <c r="M33" s="126">
        <v>0.6</v>
      </c>
      <c r="N33" s="132">
        <f>N32</f>
        <v>1100000</v>
      </c>
      <c r="O33" s="367" t="str">
        <f ca="1">IF(G33&gt;0,VLOOKUP(M33,'Income Limits (Reference Tab)'!$B$3:$G$9,L33+2),"")</f>
        <v/>
      </c>
      <c r="P33" s="127"/>
      <c r="R33" s="27" t="s">
        <v>291</v>
      </c>
      <c r="S33" s="59">
        <f t="shared" ca="1" si="24"/>
        <v>4</v>
      </c>
      <c r="T33" s="659">
        <v>4</v>
      </c>
      <c r="U33" s="660"/>
      <c r="V33" s="623"/>
      <c r="X33" s="133"/>
      <c r="Y33" s="111"/>
      <c r="Z33" s="134"/>
      <c r="AA33" s="134"/>
      <c r="AB33" s="134"/>
      <c r="AC33" s="134"/>
      <c r="AD33" s="134"/>
      <c r="AE33" s="134"/>
      <c r="AF33" s="134"/>
      <c r="AG33" s="134"/>
      <c r="AH33" s="134"/>
      <c r="AI33" s="134"/>
      <c r="AJ33" s="134"/>
      <c r="AK33" s="134"/>
      <c r="AL33" s="134"/>
      <c r="AM33" s="134"/>
      <c r="AN33" s="134"/>
      <c r="AO33" s="114"/>
    </row>
    <row r="34" spans="1:42" s="86" customFormat="1" ht="15">
      <c r="A34" s="51"/>
      <c r="B34" s="94"/>
      <c r="C34" s="135"/>
      <c r="D34" s="135"/>
      <c r="E34" s="116"/>
      <c r="F34" s="117"/>
      <c r="G34" s="373">
        <f t="shared" ca="1" si="9"/>
        <v>0</v>
      </c>
      <c r="H34" s="589">
        <v>0</v>
      </c>
      <c r="I34" s="590">
        <v>0</v>
      </c>
      <c r="J34" s="590">
        <v>0</v>
      </c>
      <c r="K34" s="417" t="s">
        <v>292</v>
      </c>
      <c r="L34" s="55">
        <v>4</v>
      </c>
      <c r="M34" s="126">
        <v>0.8</v>
      </c>
      <c r="N34" s="132">
        <f>N32</f>
        <v>1100000</v>
      </c>
      <c r="O34" s="367" t="str">
        <f ca="1">IF(G34&gt;0,VLOOKUP(M34,'Income Limits (Reference Tab)'!$B$3:$G$9,L34+2),"")</f>
        <v/>
      </c>
      <c r="P34" s="127"/>
      <c r="R34" s="27" t="s">
        <v>293</v>
      </c>
      <c r="S34" s="59">
        <f t="shared" ca="1" si="24"/>
        <v>30</v>
      </c>
      <c r="T34" s="661">
        <v>30</v>
      </c>
      <c r="U34" s="594"/>
      <c r="V34" s="595"/>
      <c r="X34" s="816" t="s">
        <v>294</v>
      </c>
      <c r="Y34" s="825"/>
      <c r="Z34" s="51"/>
      <c r="AA34" s="51"/>
      <c r="AB34" s="51"/>
      <c r="AC34" s="51"/>
      <c r="AD34" s="51"/>
      <c r="AE34" s="51"/>
      <c r="AF34" s="51"/>
      <c r="AG34" s="51"/>
      <c r="AH34" s="51"/>
      <c r="AI34" s="51"/>
      <c r="AJ34" s="51"/>
      <c r="AK34" s="51"/>
      <c r="AL34" s="51"/>
      <c r="AM34" s="51"/>
      <c r="AN34" s="51"/>
      <c r="AO34" s="114"/>
      <c r="AP34" s="51"/>
    </row>
    <row r="35" spans="1:42" ht="16.149999999999999" thickBot="1">
      <c r="B35" s="458" t="s">
        <v>295</v>
      </c>
      <c r="C35" s="459" t="s">
        <v>250</v>
      </c>
      <c r="D35" s="459" t="s">
        <v>223</v>
      </c>
      <c r="E35" s="460" t="s">
        <v>224</v>
      </c>
      <c r="F35" s="117"/>
      <c r="G35" s="373">
        <f t="shared" ca="1" si="9"/>
        <v>0</v>
      </c>
      <c r="H35" s="589">
        <v>0</v>
      </c>
      <c r="I35" s="590">
        <v>0</v>
      </c>
      <c r="J35" s="590">
        <v>0</v>
      </c>
      <c r="K35" s="417" t="s">
        <v>296</v>
      </c>
      <c r="L35" s="55">
        <v>4</v>
      </c>
      <c r="M35" s="126">
        <v>1</v>
      </c>
      <c r="N35" s="132">
        <f>N33</f>
        <v>1100000</v>
      </c>
      <c r="O35" s="367" t="str">
        <f ca="1">IF(G35&gt;0,VLOOKUP(M35,'Income Limits (Reference Tab)'!$B$3:$G$9,L35+2),"")</f>
        <v/>
      </c>
      <c r="P35" s="127"/>
      <c r="Q35" s="81"/>
      <c r="R35" s="11" t="s">
        <v>297</v>
      </c>
      <c r="S35" s="65">
        <f t="shared" ca="1" si="24"/>
        <v>1.2</v>
      </c>
      <c r="T35" s="662">
        <v>1.2</v>
      </c>
      <c r="U35" s="663"/>
      <c r="V35" s="664"/>
      <c r="X35" s="67" t="str">
        <f>R28</f>
        <v>Perm Senior Loan</v>
      </c>
      <c r="Z35" s="109">
        <f ca="1">IF(OR($S$33=$Z$4,$S$33=$AA$4,$S$33=$AB$4,$S$33=$AC$4,$S$33=$AD$4,$S$33=$AE$4,$S$33=$AF$4,$S$33=$AG$4,$S$33=$AH$4,$S$33=$AI$4,),$S$30*$C$41,MIN($T$38,$T$39))</f>
        <v>111608.93203172188</v>
      </c>
      <c r="AA35" s="109">
        <f ca="1">IF(OR($S$33=$AA$4,$S$33=$AB$4,$S$33=$AC$4,$S$33=$AD$4,$S$33=$AE$4,$S$33=$AF$4,$S$33=$AG$4,$S$33=$AH$4,$S$33=$AI$4,),$S$30*$C$41,MIN($T$38,$T$39))</f>
        <v>111608.93203172188</v>
      </c>
      <c r="AB35" s="109">
        <f ca="1">IF(OR($S$33=$AB$4,$S$33=$AC$4,$S$33=$AD$4,$S$33=$AE$4,$S$33=$AF$4,$S$33=$AG$4,$S$33=$AH$4,$S$33=$AI$4,),$S$30*$C$41,MIN($T$38,$T$39))</f>
        <v>111608.93203172188</v>
      </c>
      <c r="AC35" s="109">
        <f ca="1">IF(OR($S$33=$AC$4,$S$33=$AD$4,$S$33=$AE$4,$S$33=$AF$4,$S$33=$AG$4,$S$33=$AH$4,$S$33=$AI$4,),$S$30*$C$41,MIN($T$38,$T$39))</f>
        <v>111608.93203172188</v>
      </c>
      <c r="AD35" s="109">
        <f ca="1">IF(OR($S$33=$AD$4,$S$33=$AE$4,$S$33=$AF$4,$S$33=$AG$4,$S$33=$AH$4,$S$33=$AI$4,),$S$30*$C$41,MIN($T$38,$T$39))</f>
        <v>126000.88263776546</v>
      </c>
      <c r="AE35" s="109">
        <f ca="1">IF(OR($S$33=$AE$4,$S$33=$AF$4,$S$33=$AG$4,$S$33=$AH$4,$S$33=$AI$4,),$S$30*$C$41,MIN($T$38,$T$39))</f>
        <v>126000.88263776546</v>
      </c>
      <c r="AF35" s="109">
        <f ca="1">IF(OR($S$33=$AF$4,$S$33=$AG$4,$S$33=$AH$4,$S$33=$AI$4),$S$30*$C$41,MIN($T$38,$T$39))</f>
        <v>126000.88263776546</v>
      </c>
      <c r="AG35" s="109">
        <f ca="1">IF(OR($S$33=$AG$4,$S$33=$AH$4,$S$33=$AI$4),$S$30*$C$41,MIN($T$38,$T$39))</f>
        <v>126000.88263776546</v>
      </c>
      <c r="AH35" s="109">
        <f ca="1">IF(OR($S$33=$AH$4,$S$33=$AI$4),$S$30*$C$41,MIN($T$38,$T$39))</f>
        <v>126000.88263776546</v>
      </c>
      <c r="AI35" s="109">
        <f ca="1">IF($S$33=$AI$4,$S$30*$C$41,MIN($T$38,$T$39))</f>
        <v>126000.88263776546</v>
      </c>
      <c r="AJ35" s="109">
        <f t="shared" ref="AJ35:AN35" ca="1" si="27">MIN($T$38,$T$39)</f>
        <v>126000.88263776546</v>
      </c>
      <c r="AK35" s="109">
        <f t="shared" ca="1" si="27"/>
        <v>126000.88263776546</v>
      </c>
      <c r="AL35" s="109">
        <f t="shared" ca="1" si="27"/>
        <v>126000.88263776546</v>
      </c>
      <c r="AM35" s="109">
        <f t="shared" ca="1" si="27"/>
        <v>126000.88263776546</v>
      </c>
      <c r="AN35" s="109">
        <f t="shared" ca="1" si="27"/>
        <v>126000.88263776546</v>
      </c>
      <c r="AO35" s="114"/>
    </row>
    <row r="36" spans="1:42" ht="15">
      <c r="B36" s="96" t="s">
        <v>298</v>
      </c>
      <c r="C36" s="115">
        <f ca="1">C20</f>
        <v>7149908.1750750002</v>
      </c>
      <c r="D36" s="145">
        <f ca="1">IF($G$38&gt;0,C36/$G$38,0)</f>
        <v>595825.68125625001</v>
      </c>
      <c r="E36" s="146">
        <f ca="1">C36/$C$38</f>
        <v>0.99305546698871905</v>
      </c>
      <c r="F36" s="136"/>
      <c r="G36" s="373">
        <f t="shared" ca="1" si="9"/>
        <v>0</v>
      </c>
      <c r="H36" s="589">
        <v>0</v>
      </c>
      <c r="I36" s="590">
        <v>0</v>
      </c>
      <c r="J36" s="590">
        <v>0</v>
      </c>
      <c r="K36" s="417" t="s">
        <v>299</v>
      </c>
      <c r="L36" s="55">
        <v>4</v>
      </c>
      <c r="M36" s="126">
        <v>1.2</v>
      </c>
      <c r="N36" s="132">
        <f>N34</f>
        <v>1100000</v>
      </c>
      <c r="O36" s="367" t="str">
        <f ca="1">IF(G36&gt;0,VLOOKUP(M36,'Income Limits (Reference Tab)'!$B$3:$G$9,L36+2),"")</f>
        <v/>
      </c>
      <c r="P36" s="127"/>
      <c r="Q36" s="46"/>
      <c r="R36" s="66"/>
      <c r="S36" s="61"/>
      <c r="T36" s="192"/>
      <c r="U36" s="192"/>
      <c r="V36" s="193"/>
      <c r="X36" s="148" t="s">
        <v>300</v>
      </c>
      <c r="Y36" s="314"/>
      <c r="Z36" s="149">
        <f ca="1">Z32/Z$35</f>
        <v>1.0179197127290094</v>
      </c>
      <c r="AA36" s="149">
        <f t="shared" ref="AA36:AN36" ca="1" si="28">AA32/AA$35</f>
        <v>1.0179197127290094</v>
      </c>
      <c r="AB36" s="149">
        <f t="shared" ca="1" si="28"/>
        <v>1.27697216729403</v>
      </c>
      <c r="AC36" s="149">
        <f t="shared" ca="1" si="28"/>
        <v>1.3152813323128507</v>
      </c>
      <c r="AD36" s="149">
        <f t="shared" ca="1" si="28"/>
        <v>2.7872904682340316</v>
      </c>
      <c r="AE36" s="149">
        <f t="shared" ca="1" si="28"/>
        <v>2.0296452341170155</v>
      </c>
      <c r="AF36" s="149">
        <f t="shared" ca="1" si="28"/>
        <v>2.0667252341170155</v>
      </c>
      <c r="AG36" s="149">
        <f t="shared" ca="1" si="28"/>
        <v>2.1049176341170153</v>
      </c>
      <c r="AH36" s="149">
        <f t="shared" ca="1" si="28"/>
        <v>2.1442558061170156</v>
      </c>
      <c r="AI36" s="149">
        <f t="shared" ca="1" si="28"/>
        <v>2.1847741232770153</v>
      </c>
      <c r="AJ36" s="149">
        <f t="shared" ca="1" si="28"/>
        <v>2.2265079899518154</v>
      </c>
      <c r="AK36" s="149">
        <f t="shared" ca="1" si="28"/>
        <v>2.2694938726268603</v>
      </c>
      <c r="AL36" s="149">
        <f t="shared" ca="1" si="28"/>
        <v>2.3137693317821548</v>
      </c>
      <c r="AM36" s="149">
        <f t="shared" ca="1" si="28"/>
        <v>2.3593730547121092</v>
      </c>
      <c r="AN36" s="149">
        <f t="shared" ca="1" si="28"/>
        <v>2.4063448893299624</v>
      </c>
      <c r="AO36" s="114"/>
    </row>
    <row r="37" spans="1:42" ht="14.45" thickBot="1">
      <c r="B37" s="92" t="s">
        <v>301</v>
      </c>
      <c r="C37" s="123">
        <f ca="1">IF(M55&lt;=M48,M53,0)</f>
        <v>50000</v>
      </c>
      <c r="D37" s="123">
        <f ca="1">IF($G$38&gt;0,C37/$G$38,0)</f>
        <v>4166.666666666667</v>
      </c>
      <c r="E37" s="124">
        <f ca="1">C37/$C$38</f>
        <v>6.9445330112809607E-3</v>
      </c>
      <c r="F37" s="108"/>
      <c r="G37" s="374">
        <f t="shared" ca="1" si="9"/>
        <v>0</v>
      </c>
      <c r="H37" s="596">
        <v>0</v>
      </c>
      <c r="I37" s="597">
        <v>0</v>
      </c>
      <c r="J37" s="597">
        <v>0</v>
      </c>
      <c r="K37" s="418" t="s">
        <v>302</v>
      </c>
      <c r="L37" s="327">
        <v>4</v>
      </c>
      <c r="M37" s="327" t="s">
        <v>218</v>
      </c>
      <c r="N37" s="408">
        <f>N33</f>
        <v>1100000</v>
      </c>
      <c r="O37" s="409" t="str">
        <f ca="1">IF(G37&gt;0,VLOOKUP(M37,'Income Limits (Reference Tab)'!$B$3:$G$9,L37+2),"")</f>
        <v/>
      </c>
      <c r="P37" s="127"/>
      <c r="Q37" s="87"/>
      <c r="R37" s="67"/>
      <c r="S37" s="82" t="s">
        <v>303</v>
      </c>
      <c r="T37" s="82" t="s">
        <v>304</v>
      </c>
      <c r="U37" s="195"/>
      <c r="V37" s="196"/>
      <c r="X37" s="837" t="s">
        <v>305</v>
      </c>
      <c r="Y37" s="838"/>
      <c r="Z37" s="839">
        <f t="shared" ref="Z37:AN37" ca="1" si="29">Z32-Z35</f>
        <v>2000</v>
      </c>
      <c r="AA37" s="839">
        <f t="shared" ca="1" si="29"/>
        <v>2000</v>
      </c>
      <c r="AB37" s="839">
        <f t="shared" ca="1" si="29"/>
        <v>30912.567794198098</v>
      </c>
      <c r="AC37" s="839">
        <f t="shared" ca="1" si="29"/>
        <v>35188.212788975667</v>
      </c>
      <c r="AD37" s="839">
        <f t="shared" ca="1" si="29"/>
        <v>225200.17652755309</v>
      </c>
      <c r="AE37" s="839">
        <f t="shared" ca="1" si="29"/>
        <v>129736.20830251262</v>
      </c>
      <c r="AF37" s="839">
        <f t="shared" ca="1" si="29"/>
        <v>134408.32103072095</v>
      </c>
      <c r="AG37" s="839">
        <f t="shared" ca="1" si="29"/>
        <v>139220.5971407755</v>
      </c>
      <c r="AH37" s="839">
        <f t="shared" ca="1" si="29"/>
        <v>144177.24153413178</v>
      </c>
      <c r="AI37" s="839">
        <f t="shared" ca="1" si="29"/>
        <v>149282.58525928869</v>
      </c>
      <c r="AJ37" s="839">
        <f t="shared" ca="1" si="29"/>
        <v>154541.08929620034</v>
      </c>
      <c r="AK37" s="839">
        <f t="shared" ca="1" si="29"/>
        <v>159957.34845421938</v>
      </c>
      <c r="AL37" s="839">
        <f t="shared" ca="1" si="29"/>
        <v>165536.09538697885</v>
      </c>
      <c r="AM37" s="839">
        <f t="shared" ca="1" si="29"/>
        <v>171282.2047277212</v>
      </c>
      <c r="AN37" s="839">
        <f t="shared" ca="1" si="29"/>
        <v>177200.69734868585</v>
      </c>
      <c r="AO37" s="114"/>
    </row>
    <row r="38" spans="1:42" ht="16.149999999999999" thickTop="1">
      <c r="B38" s="93" t="s">
        <v>306</v>
      </c>
      <c r="C38" s="115">
        <f ca="1">SUM(C36:C37)</f>
        <v>7199908.1750750002</v>
      </c>
      <c r="D38" s="115">
        <f ca="1">SUM(D36:D37)</f>
        <v>599992.34792291664</v>
      </c>
      <c r="E38" s="116">
        <f ca="1">SUM(E36:E37)</f>
        <v>1</v>
      </c>
      <c r="F38" s="117"/>
      <c r="G38" s="410">
        <f ca="1">SUM(G8:G37)</f>
        <v>12</v>
      </c>
      <c r="H38" s="413">
        <f>SUM(H8:H37)</f>
        <v>12</v>
      </c>
      <c r="I38" s="414">
        <f>SUM(I8:I37)</f>
        <v>12</v>
      </c>
      <c r="J38" s="419">
        <f>SUM(J8:J37)</f>
        <v>12</v>
      </c>
      <c r="K38" s="170"/>
      <c r="L38" s="267"/>
      <c r="M38" s="412" t="s">
        <v>307</v>
      </c>
      <c r="N38" s="405">
        <f ca="1">SUMPRODUCT($G$8:$G$37,N8:N37)</f>
        <v>8400000</v>
      </c>
      <c r="O38" s="405">
        <f ca="1">SUMPRODUCT($G$8:$G$37,O8:O37)</f>
        <v>22016</v>
      </c>
      <c r="P38" s="150"/>
      <c r="Q38" s="166"/>
      <c r="R38" s="27" t="s">
        <v>308</v>
      </c>
      <c r="S38" s="30">
        <f ca="1">S29*N38</f>
        <v>6300000</v>
      </c>
      <c r="T38" s="199">
        <f ca="1">PMT($S$30,$S$34,-S38,0)</f>
        <v>533428.78533613076</v>
      </c>
      <c r="U38" s="60"/>
      <c r="V38" s="26"/>
      <c r="X38" s="67"/>
      <c r="AO38" s="114"/>
      <c r="AP38" s="86"/>
    </row>
    <row r="39" spans="1:42">
      <c r="B39" s="91"/>
      <c r="C39" s="115"/>
      <c r="D39" s="115"/>
      <c r="E39" s="116"/>
      <c r="F39" s="117"/>
      <c r="J39" s="151"/>
      <c r="K39" s="151"/>
      <c r="Q39" s="47"/>
      <c r="R39" s="62" t="s">
        <v>309</v>
      </c>
      <c r="S39" s="63">
        <f ca="1">PV(S30,S34,-_xlfn.XLOOKUP(S33+1,Z4:AI4,Z23:AI23)/S35,0)</f>
        <v>1488119.0937562918</v>
      </c>
      <c r="T39" s="201">
        <f ca="1">PMT($S$30,$S$34,-S39,0)</f>
        <v>126000.88263776546</v>
      </c>
      <c r="U39" s="170"/>
      <c r="V39" s="171"/>
      <c r="X39" s="67" t="str">
        <f>R43</f>
        <v>Subordinate Loan #1 (IO-&gt;P&amp;I)</v>
      </c>
      <c r="Z39" s="109">
        <f ca="1">IF(OR($S$48=$Z$4,$S$48=$AA$4,$S$48=$AB$4,$S$48=$AC$4,$S$48=$AD$4,$S$48=$AE$4,$S$48=$AF$4,$S$48=$AG$4,$S$48=$AH$4,$S$48=$AI$4),$S$45*$S$44,$S$51)</f>
        <v>0</v>
      </c>
      <c r="AA39" s="109">
        <f ca="1">IF(OR($S$48=$AA$4,$S$48=$AB$4,$S$48=$AC$4,$S$48=$AD$4,$S$48=$AE$4,$S$48=$AF$4,$S$48=$AG$4,$S$48=$AH$4,$S$48=$AI$4),$S$45*$S$44,$S$51)</f>
        <v>0</v>
      </c>
      <c r="AB39" s="109">
        <f ca="1">IF(OR($S$48=$AB$4,$S$48=$AC$4,$S$48=$AD$4,$S$48=$AE$4,$S$48=$AF$4,$S$48=$AG$4,$S$48=$AH$4,$S$48=$AI$4),$S$45*$S$44,$S$51)</f>
        <v>0</v>
      </c>
      <c r="AC39" s="109">
        <f ca="1">IF(OR($S$48=$AC$4,$S$48=$AD$4,$S$48=$AE$4,$S$48=$AF$4,$S$48=$AG$4,$S$48=$AH$4,$S$48=$AI$4),$S$45*$S$44,$S$51)</f>
        <v>0</v>
      </c>
      <c r="AD39" s="109">
        <f ca="1">IF(OR($S$48=$AD$4,$S$48=$AE$4,$S$48=$AF$4,$S$48=$AG$4,$S$48=$AH$4,$S$48=$AI$4),$S$45*$S$44,$S$51)</f>
        <v>0</v>
      </c>
      <c r="AE39" s="109">
        <f ca="1">IF(OR($S$48=$AE$4,$S$48=$AF$4,$S$48=$AG$4,$S$48=$AH$4,$S$48=$AI$4),$S$45*$S$44,$S$51)</f>
        <v>0</v>
      </c>
      <c r="AF39" s="109">
        <f ca="1">IF(OR($S$48=$AF$4,$S$48=$AG$4,$S$48=$AH$4,$S$48=$AI$4),$S$45*$S$44,$S$51)</f>
        <v>0</v>
      </c>
      <c r="AG39" s="109">
        <f ca="1">IF(OR($S$48=$AG$4,$S$48=$AH$4,$S$48=$AI$4),$S$45*$S$44,$S$51)</f>
        <v>0</v>
      </c>
      <c r="AH39" s="109">
        <f ca="1">IF(OR($S$48=$AH$4,$S$48=$AI$4),$S$45*$S$44,$S$51)</f>
        <v>0</v>
      </c>
      <c r="AI39" s="109">
        <f ca="1">IF($S$48=$AI$4,$S$45*$S$44,$S$51)</f>
        <v>0</v>
      </c>
      <c r="AJ39" s="109">
        <f t="shared" ref="AJ39:AN39" ca="1" si="30">$S$51</f>
        <v>0</v>
      </c>
      <c r="AK39" s="109">
        <f t="shared" ca="1" si="30"/>
        <v>0</v>
      </c>
      <c r="AL39" s="109">
        <f t="shared" ca="1" si="30"/>
        <v>0</v>
      </c>
      <c r="AM39" s="109">
        <f t="shared" ca="1" si="30"/>
        <v>0</v>
      </c>
      <c r="AN39" s="109">
        <f t="shared" ca="1" si="30"/>
        <v>0</v>
      </c>
      <c r="AO39" s="114"/>
    </row>
    <row r="40" spans="1:42" ht="21" customHeight="1">
      <c r="B40" s="458" t="s">
        <v>310</v>
      </c>
      <c r="C40" s="461" t="s">
        <v>250</v>
      </c>
      <c r="D40" s="459" t="s">
        <v>223</v>
      </c>
      <c r="E40" s="460" t="s">
        <v>251</v>
      </c>
      <c r="F40" s="117"/>
      <c r="J40" s="151"/>
      <c r="K40" s="151"/>
      <c r="Q40" s="48"/>
      <c r="R40" s="84"/>
      <c r="S40" s="85"/>
      <c r="T40" s="199"/>
      <c r="V40" s="114"/>
      <c r="X40" s="67"/>
      <c r="AO40" s="114"/>
    </row>
    <row r="41" spans="1:42" ht="15">
      <c r="B41" s="96" t="str">
        <f>R28</f>
        <v>Perm Senior Loan</v>
      </c>
      <c r="C41" s="145">
        <f ca="1">MIN(S38,S39)</f>
        <v>1488119.0937562918</v>
      </c>
      <c r="D41" s="145">
        <f ca="1">IF($G$38&gt;0,C41/$G$38,0)</f>
        <v>124009.92447969098</v>
      </c>
      <c r="E41" s="146">
        <f ca="1">C41/$C$45</f>
        <v>0.93703243012872828</v>
      </c>
      <c r="F41" s="117"/>
      <c r="J41" s="151"/>
      <c r="K41" s="153"/>
      <c r="L41" s="86"/>
      <c r="M41" s="86"/>
      <c r="N41" s="86"/>
      <c r="O41" s="86"/>
      <c r="P41" s="86"/>
      <c r="Q41" s="49"/>
      <c r="R41" s="84" t="s">
        <v>311</v>
      </c>
      <c r="S41" s="365">
        <f ca="1">C41/N38</f>
        <v>0.17715703497098712</v>
      </c>
      <c r="T41" s="199"/>
      <c r="V41" s="114"/>
      <c r="X41" s="67" t="str">
        <f>R55</f>
        <v>Subordinate Loan #5 (Perm Only)</v>
      </c>
      <c r="Z41" s="109">
        <f ca="1">IF(OR($S$60=$Z$4,$S$60=$AA$4,$S$60=$AB$4),$S$57*$S$56,$S$62)</f>
        <v>2000</v>
      </c>
      <c r="AA41" s="109">
        <f ca="1">IF(OR($S$60=$AA$4,$S$60=$AB$4),$S$57*$S$56,$S$62)</f>
        <v>2000</v>
      </c>
      <c r="AB41" s="109">
        <f ca="1">IF(OR($S$60=$AB$4),$S$57*$S$56,$S$62)</f>
        <v>4464.992229340296</v>
      </c>
      <c r="AC41" s="109">
        <f t="shared" ref="AC41:AN41" ca="1" si="31">$S$62</f>
        <v>4464.992229340296</v>
      </c>
      <c r="AD41" s="109">
        <f t="shared" ca="1" si="31"/>
        <v>4464.992229340296</v>
      </c>
      <c r="AE41" s="109">
        <f t="shared" ca="1" si="31"/>
        <v>4464.992229340296</v>
      </c>
      <c r="AF41" s="109">
        <f t="shared" ca="1" si="31"/>
        <v>4464.992229340296</v>
      </c>
      <c r="AG41" s="109">
        <f t="shared" ca="1" si="31"/>
        <v>4464.992229340296</v>
      </c>
      <c r="AH41" s="109">
        <f t="shared" ca="1" si="31"/>
        <v>4464.992229340296</v>
      </c>
      <c r="AI41" s="109">
        <f t="shared" ca="1" si="31"/>
        <v>4464.992229340296</v>
      </c>
      <c r="AJ41" s="109">
        <f t="shared" ca="1" si="31"/>
        <v>4464.992229340296</v>
      </c>
      <c r="AK41" s="109">
        <f t="shared" ca="1" si="31"/>
        <v>4464.992229340296</v>
      </c>
      <c r="AL41" s="109">
        <f t="shared" ca="1" si="31"/>
        <v>4464.992229340296</v>
      </c>
      <c r="AM41" s="109">
        <f t="shared" ca="1" si="31"/>
        <v>4464.992229340296</v>
      </c>
      <c r="AN41" s="109">
        <f t="shared" ca="1" si="31"/>
        <v>4464.992229340296</v>
      </c>
      <c r="AO41" s="114"/>
    </row>
    <row r="42" spans="1:42" ht="28.15" thickBot="1">
      <c r="B42" s="97" t="str">
        <f>R55</f>
        <v>Subordinate Loan #5 (Perm Only)</v>
      </c>
      <c r="C42" s="160">
        <f ca="1">S56</f>
        <v>100000</v>
      </c>
      <c r="D42" s="115">
        <f t="shared" ref="D42:D44" ca="1" si="32">IF($G$38&gt;0,C42/$G$38,0)</f>
        <v>8333.3333333333339</v>
      </c>
      <c r="E42" s="116">
        <f ca="1">C42/$C$45</f>
        <v>6.2967569871271709E-2</v>
      </c>
      <c r="F42" s="117"/>
      <c r="J42" s="151"/>
      <c r="K42" s="154"/>
      <c r="L42" s="498" t="s">
        <v>312</v>
      </c>
      <c r="M42" s="502"/>
      <c r="N42" s="502"/>
      <c r="O42" s="32" t="s">
        <v>171</v>
      </c>
      <c r="P42" s="613">
        <v>1</v>
      </c>
      <c r="Q42" s="180"/>
      <c r="R42" s="67"/>
      <c r="S42" s="55"/>
      <c r="T42" s="51"/>
      <c r="V42" s="114"/>
      <c r="X42" s="148" t="s">
        <v>313</v>
      </c>
      <c r="Y42" s="314"/>
      <c r="Z42" s="149">
        <f t="shared" ref="Z42:AN42" ca="1" si="33">Z32/(Z35+Z39+Z41)</f>
        <v>1</v>
      </c>
      <c r="AA42" s="149">
        <f t="shared" ca="1" si="33"/>
        <v>1</v>
      </c>
      <c r="AB42" s="149">
        <f t="shared" ca="1" si="33"/>
        <v>1.2278511365341149</v>
      </c>
      <c r="AC42" s="149">
        <f t="shared" ca="1" si="33"/>
        <v>1.2646866706301383</v>
      </c>
      <c r="AD42" s="149">
        <f t="shared" ca="1" si="33"/>
        <v>2.6918997747346309</v>
      </c>
      <c r="AE42" s="149">
        <f t="shared" ca="1" si="33"/>
        <v>1.9601837737322134</v>
      </c>
      <c r="AF42" s="149">
        <f t="shared" ca="1" si="33"/>
        <v>1.9959947682391479</v>
      </c>
      <c r="AG42" s="149">
        <f t="shared" ca="1" si="33"/>
        <v>2.0328800925812902</v>
      </c>
      <c r="AH42" s="149">
        <f t="shared" ca="1" si="33"/>
        <v>2.0708719766536974</v>
      </c>
      <c r="AI42" s="149">
        <f t="shared" ca="1" si="33"/>
        <v>2.1100036172482768</v>
      </c>
      <c r="AJ42" s="149">
        <f t="shared" ca="1" si="33"/>
        <v>2.1503092070606931</v>
      </c>
      <c r="AK42" s="149">
        <f t="shared" ca="1" si="33"/>
        <v>2.1918239645674826</v>
      </c>
      <c r="AL42" s="149">
        <f t="shared" ca="1" si="33"/>
        <v>2.2345841647994749</v>
      </c>
      <c r="AM42" s="149">
        <f t="shared" ca="1" si="33"/>
        <v>2.2786271710384276</v>
      </c>
      <c r="AN42" s="149">
        <f t="shared" ca="1" si="33"/>
        <v>2.3239914674645488</v>
      </c>
      <c r="AO42" s="114"/>
    </row>
    <row r="43" spans="1:42" ht="14.45" thickBot="1">
      <c r="B43" s="97" t="s">
        <v>314</v>
      </c>
      <c r="C43" s="160">
        <f ca="1">IF(S69=1,S68,0)</f>
        <v>0</v>
      </c>
      <c r="D43" s="115">
        <f t="shared" ca="1" si="32"/>
        <v>0</v>
      </c>
      <c r="E43" s="116">
        <f ca="1">C43/$C$45</f>
        <v>0</v>
      </c>
      <c r="F43" s="117"/>
      <c r="J43" s="151"/>
      <c r="K43" s="157"/>
      <c r="L43" s="53"/>
      <c r="M43" s="506" t="s">
        <v>181</v>
      </c>
      <c r="N43" s="17">
        <v>1</v>
      </c>
      <c r="O43" s="16">
        <v>2</v>
      </c>
      <c r="P43" s="18">
        <v>3</v>
      </c>
      <c r="Q43" s="184"/>
      <c r="R43" s="54" t="str">
        <f>L52</f>
        <v>Subordinate Loan #1 (IO-&gt;P&amp;I)</v>
      </c>
      <c r="S43" s="89"/>
      <c r="T43" s="528"/>
      <c r="U43" s="531"/>
      <c r="V43" s="531"/>
      <c r="X43" s="837" t="s">
        <v>315</v>
      </c>
      <c r="Y43" s="838"/>
      <c r="Z43" s="839">
        <f t="shared" ref="Z43:AN43" ca="1" si="34">Z37-Z39-Z41</f>
        <v>0</v>
      </c>
      <c r="AA43" s="839">
        <f t="shared" ca="1" si="34"/>
        <v>0</v>
      </c>
      <c r="AB43" s="839">
        <f t="shared" ca="1" si="34"/>
        <v>26447.575564857802</v>
      </c>
      <c r="AC43" s="839">
        <f t="shared" ca="1" si="34"/>
        <v>30723.220559635371</v>
      </c>
      <c r="AD43" s="839">
        <f t="shared" ca="1" si="34"/>
        <v>220735.18429821279</v>
      </c>
      <c r="AE43" s="839">
        <f t="shared" ca="1" si="34"/>
        <v>125271.21607317233</v>
      </c>
      <c r="AF43" s="839">
        <f t="shared" ca="1" si="34"/>
        <v>129943.32880138066</v>
      </c>
      <c r="AG43" s="839">
        <f t="shared" ca="1" si="34"/>
        <v>134755.60491143519</v>
      </c>
      <c r="AH43" s="839">
        <f t="shared" ca="1" si="34"/>
        <v>139712.24930479148</v>
      </c>
      <c r="AI43" s="839">
        <f t="shared" ca="1" si="34"/>
        <v>144817.59302994839</v>
      </c>
      <c r="AJ43" s="839">
        <f t="shared" ca="1" si="34"/>
        <v>150076.09706686003</v>
      </c>
      <c r="AK43" s="839">
        <f t="shared" ca="1" si="34"/>
        <v>155492.35622487907</v>
      </c>
      <c r="AL43" s="839">
        <f t="shared" ca="1" si="34"/>
        <v>161071.10315763854</v>
      </c>
      <c r="AM43" s="839">
        <f t="shared" ca="1" si="34"/>
        <v>166817.21249838089</v>
      </c>
      <c r="AN43" s="839">
        <f t="shared" ca="1" si="34"/>
        <v>172735.70511934554</v>
      </c>
      <c r="AO43" s="114"/>
    </row>
    <row r="44" spans="1:42" ht="33.4" customHeight="1" thickTop="1" thickBot="1">
      <c r="B44" s="805" t="s">
        <v>316</v>
      </c>
      <c r="C44" s="857">
        <f ca="1">IF(S74=1,S73,0)</f>
        <v>0</v>
      </c>
      <c r="D44" s="123">
        <f t="shared" ca="1" si="32"/>
        <v>0</v>
      </c>
      <c r="E44" s="124">
        <f ca="1">C44/$C$45</f>
        <v>0</v>
      </c>
      <c r="G44" s="117"/>
      <c r="H44" s="86"/>
      <c r="I44" s="152"/>
      <c r="J44" s="152"/>
      <c r="K44" s="160"/>
      <c r="L44" s="53"/>
      <c r="M44" s="504" t="s">
        <v>186</v>
      </c>
      <c r="N44" s="600" t="s">
        <v>270</v>
      </c>
      <c r="O44" s="601" t="s">
        <v>317</v>
      </c>
      <c r="P44" s="614" t="s">
        <v>318</v>
      </c>
      <c r="Q44" s="391"/>
      <c r="R44" s="11" t="s">
        <v>222</v>
      </c>
      <c r="S44" s="24">
        <f ca="1">IF(C37&gt;0,0,C21)</f>
        <v>0</v>
      </c>
      <c r="T44" s="509" t="s">
        <v>319</v>
      </c>
      <c r="U44" s="532"/>
      <c r="V44" s="532"/>
      <c r="X44" s="133"/>
      <c r="Y44" s="111"/>
      <c r="Z44" s="134"/>
      <c r="AA44" s="134"/>
      <c r="AB44" s="134"/>
      <c r="AC44" s="134"/>
      <c r="AD44" s="134"/>
      <c r="AE44" s="134"/>
      <c r="AF44" s="134"/>
      <c r="AG44" s="134"/>
      <c r="AH44" s="134"/>
      <c r="AI44" s="134"/>
      <c r="AJ44" s="134"/>
      <c r="AK44" s="134"/>
      <c r="AL44" s="134"/>
      <c r="AM44" s="134"/>
      <c r="AN44" s="134"/>
      <c r="AO44" s="114"/>
    </row>
    <row r="45" spans="1:42" ht="18" thickTop="1">
      <c r="B45" s="93" t="s">
        <v>320</v>
      </c>
      <c r="C45" s="135">
        <f ca="1">SUM(C41:C44)</f>
        <v>1588119.0937562918</v>
      </c>
      <c r="D45" s="135">
        <f ca="1">SUM(D41:D44)</f>
        <v>132343.25781302431</v>
      </c>
      <c r="E45" s="116">
        <f ca="1">SUM(E41:E43)</f>
        <v>1</v>
      </c>
      <c r="F45" s="117"/>
      <c r="G45" s="498" t="s">
        <v>321</v>
      </c>
      <c r="H45" s="499"/>
      <c r="I45" s="500" t="s">
        <v>322</v>
      </c>
      <c r="J45" s="501" t="s">
        <v>323</v>
      </c>
      <c r="K45" s="160"/>
      <c r="L45" s="389" t="s">
        <v>324</v>
      </c>
      <c r="M45" s="163"/>
      <c r="N45" s="164"/>
      <c r="O45" s="164"/>
      <c r="P45" s="165"/>
      <c r="Q45" s="191"/>
      <c r="R45" s="12" t="s">
        <v>280</v>
      </c>
      <c r="S45" s="29">
        <f ca="1">M54</f>
        <v>3.5000000000000003E-2</v>
      </c>
      <c r="T45" s="509" t="s">
        <v>319</v>
      </c>
      <c r="U45" s="533"/>
      <c r="V45" s="533"/>
      <c r="X45" s="67" t="str">
        <f>L61</f>
        <v>Subordinate Loan #2 (residual receipts)</v>
      </c>
      <c r="Z45" s="109">
        <f ca="1">IF(Z43&gt;0,MIN(Z43*$M$67,$M$65*$M$64),0)</f>
        <v>0</v>
      </c>
      <c r="AA45" s="109">
        <f t="shared" ref="AA45:AN45" ca="1" si="35">IF(AA43&gt;0,MIN(AA43*$M$67,$M$65*$M$64),0)</f>
        <v>0</v>
      </c>
      <c r="AB45" s="109">
        <f t="shared" ca="1" si="35"/>
        <v>6000</v>
      </c>
      <c r="AC45" s="109">
        <f t="shared" ca="1" si="35"/>
        <v>6000</v>
      </c>
      <c r="AD45" s="109">
        <f t="shared" ca="1" si="35"/>
        <v>6000</v>
      </c>
      <c r="AE45" s="109">
        <f t="shared" ca="1" si="35"/>
        <v>6000</v>
      </c>
      <c r="AF45" s="109">
        <f t="shared" ca="1" si="35"/>
        <v>6000</v>
      </c>
      <c r="AG45" s="109">
        <f t="shared" ca="1" si="35"/>
        <v>6000</v>
      </c>
      <c r="AH45" s="109">
        <f t="shared" ca="1" si="35"/>
        <v>6000</v>
      </c>
      <c r="AI45" s="109">
        <f t="shared" ca="1" si="35"/>
        <v>6000</v>
      </c>
      <c r="AJ45" s="109">
        <f t="shared" ca="1" si="35"/>
        <v>6000</v>
      </c>
      <c r="AK45" s="109">
        <f t="shared" ca="1" si="35"/>
        <v>6000</v>
      </c>
      <c r="AL45" s="109">
        <f t="shared" ca="1" si="35"/>
        <v>6000</v>
      </c>
      <c r="AM45" s="109">
        <f t="shared" ca="1" si="35"/>
        <v>6000</v>
      </c>
      <c r="AN45" s="109">
        <f t="shared" ca="1" si="35"/>
        <v>6000</v>
      </c>
      <c r="AO45" s="114"/>
    </row>
    <row r="46" spans="1:42" ht="14.45">
      <c r="B46" s="94"/>
      <c r="C46" s="135"/>
      <c r="D46" s="135"/>
      <c r="E46" s="116"/>
      <c r="F46"/>
      <c r="G46" s="52" t="s">
        <v>229</v>
      </c>
      <c r="H46" s="156"/>
      <c r="I46" s="157"/>
      <c r="J46" s="158"/>
      <c r="K46" s="160"/>
      <c r="L46" s="11" t="s">
        <v>325</v>
      </c>
      <c r="M46" s="22">
        <f ca="1">IF(ISBLANK(OFFSET(M46,0,$P$42)),$N46,OFFSET(M46,0,$P$42))</f>
        <v>0.75</v>
      </c>
      <c r="N46" s="615">
        <v>0.75</v>
      </c>
      <c r="O46" s="616">
        <v>0.15</v>
      </c>
      <c r="P46" s="617">
        <v>0.11</v>
      </c>
      <c r="Q46" s="191"/>
      <c r="R46" s="27" t="s">
        <v>284</v>
      </c>
      <c r="S46" s="29" t="s">
        <v>326</v>
      </c>
      <c r="T46" s="509" t="s">
        <v>319</v>
      </c>
      <c r="U46" s="533"/>
      <c r="V46" s="533"/>
      <c r="X46" s="286" t="s">
        <v>327</v>
      </c>
      <c r="Y46" s="829"/>
      <c r="Z46" s="819">
        <f ca="1">Z43-Z45</f>
        <v>0</v>
      </c>
      <c r="AA46" s="819">
        <f t="shared" ref="AA46:AN46" ca="1" si="36">AA43-AA45</f>
        <v>0</v>
      </c>
      <c r="AB46" s="819">
        <f t="shared" ca="1" si="36"/>
        <v>20447.575564857802</v>
      </c>
      <c r="AC46" s="819">
        <f t="shared" ca="1" si="36"/>
        <v>24723.220559635371</v>
      </c>
      <c r="AD46" s="819">
        <f t="shared" ca="1" si="36"/>
        <v>214735.18429821279</v>
      </c>
      <c r="AE46" s="819">
        <f t="shared" ca="1" si="36"/>
        <v>119271.21607317233</v>
      </c>
      <c r="AF46" s="819">
        <f t="shared" ca="1" si="36"/>
        <v>123943.32880138066</v>
      </c>
      <c r="AG46" s="819">
        <f t="shared" ca="1" si="36"/>
        <v>128755.60491143519</v>
      </c>
      <c r="AH46" s="819">
        <f t="shared" ca="1" si="36"/>
        <v>133712.24930479148</v>
      </c>
      <c r="AI46" s="819">
        <f t="shared" ca="1" si="36"/>
        <v>138817.59302994839</v>
      </c>
      <c r="AJ46" s="819">
        <f t="shared" ca="1" si="36"/>
        <v>144076.09706686003</v>
      </c>
      <c r="AK46" s="819">
        <f t="shared" ca="1" si="36"/>
        <v>149492.35622487907</v>
      </c>
      <c r="AL46" s="819">
        <f t="shared" ca="1" si="36"/>
        <v>155071.10315763854</v>
      </c>
      <c r="AM46" s="819">
        <f t="shared" ca="1" si="36"/>
        <v>160817.21249838089</v>
      </c>
      <c r="AN46" s="819">
        <f t="shared" ca="1" si="36"/>
        <v>166735.70511934554</v>
      </c>
      <c r="AO46" s="114"/>
    </row>
    <row r="47" spans="1:42" ht="29.65" customHeight="1" thickBot="1">
      <c r="B47" s="95" t="s">
        <v>328</v>
      </c>
      <c r="C47" s="139">
        <f ca="1">C45-C38</f>
        <v>-5611789.0813187081</v>
      </c>
      <c r="D47" s="139">
        <f ca="1">D45-D38</f>
        <v>-467649.09010989231</v>
      </c>
      <c r="E47" s="162"/>
      <c r="F47"/>
      <c r="G47" s="28" t="s">
        <v>329</v>
      </c>
      <c r="H47" s="79"/>
      <c r="I47" s="603">
        <v>7480000</v>
      </c>
      <c r="J47" s="159">
        <f ca="1">I47/$G$38</f>
        <v>623333.33333333337</v>
      </c>
      <c r="K47" s="160"/>
      <c r="L47" s="12" t="s">
        <v>280</v>
      </c>
      <c r="M47" s="23">
        <f ca="1">IF(ISBLANK(OFFSET(M47,0,$P$42)),$N47,OFFSET(M47,0,$P$42))</f>
        <v>7.4999999999999997E-2</v>
      </c>
      <c r="N47" s="618">
        <v>7.4999999999999997E-2</v>
      </c>
      <c r="O47" s="619"/>
      <c r="P47" s="620"/>
      <c r="Q47" s="390"/>
      <c r="R47" s="12" t="s">
        <v>330</v>
      </c>
      <c r="S47" s="59">
        <f ca="1">M55-M48</f>
        <v>0</v>
      </c>
      <c r="T47" s="509" t="s">
        <v>319</v>
      </c>
      <c r="U47" s="534"/>
      <c r="V47" s="534"/>
      <c r="X47" s="67"/>
      <c r="AO47" s="114"/>
    </row>
    <row r="48" spans="1:42" ht="28.15" thickTop="1">
      <c r="B48" s="98"/>
      <c r="C48" s="168"/>
      <c r="D48" s="168"/>
      <c r="E48" s="169"/>
      <c r="G48" s="172" t="s">
        <v>331</v>
      </c>
      <c r="H48" s="173"/>
      <c r="I48" s="604">
        <v>0</v>
      </c>
      <c r="J48" s="211">
        <f ca="1">I48/$G$38</f>
        <v>0</v>
      </c>
      <c r="K48" s="178"/>
      <c r="L48" s="12" t="s">
        <v>332</v>
      </c>
      <c r="M48" s="59">
        <f ca="1">IF(ISBLANK(OFFSET(M48,0,$P$42)),$N48,OFFSET(M48,0,$P$42))</f>
        <v>3</v>
      </c>
      <c r="N48" s="621">
        <v>3</v>
      </c>
      <c r="O48" s="622"/>
      <c r="P48" s="623"/>
      <c r="Q48" s="182"/>
      <c r="R48" s="27" t="s">
        <v>333</v>
      </c>
      <c r="S48" s="59">
        <f ca="1">IF(ISBLANK(OFFSET(S48,0,$T$25)),$T48,OFFSET(S48,0,$T$25))</f>
        <v>4</v>
      </c>
      <c r="T48" s="851">
        <v>4</v>
      </c>
      <c r="U48" s="852"/>
      <c r="V48" s="852"/>
      <c r="W48" s="34"/>
      <c r="X48" s="67" t="str">
        <f>L69</f>
        <v>Subordinate Loan #3 (residual receipts)</v>
      </c>
      <c r="Z48" s="109">
        <f t="shared" ref="Z48:AN48" ca="1" si="37">IF(Z46&gt;0,MIN(Z$46*$M$75,$M$72*$M$73),0)</f>
        <v>0</v>
      </c>
      <c r="AA48" s="109">
        <f t="shared" ca="1" si="37"/>
        <v>0</v>
      </c>
      <c r="AB48" s="109">
        <f t="shared" ca="1" si="37"/>
        <v>10223.787782428901</v>
      </c>
      <c r="AC48" s="109">
        <f t="shared" ca="1" si="37"/>
        <v>12000</v>
      </c>
      <c r="AD48" s="109">
        <f t="shared" ca="1" si="37"/>
        <v>12000</v>
      </c>
      <c r="AE48" s="109">
        <f t="shared" ca="1" si="37"/>
        <v>12000</v>
      </c>
      <c r="AF48" s="109">
        <f t="shared" ca="1" si="37"/>
        <v>12000</v>
      </c>
      <c r="AG48" s="109">
        <f t="shared" ca="1" si="37"/>
        <v>12000</v>
      </c>
      <c r="AH48" s="109">
        <f t="shared" ca="1" si="37"/>
        <v>12000</v>
      </c>
      <c r="AI48" s="109">
        <f t="shared" ca="1" si="37"/>
        <v>12000</v>
      </c>
      <c r="AJ48" s="109">
        <f t="shared" ca="1" si="37"/>
        <v>12000</v>
      </c>
      <c r="AK48" s="109">
        <f t="shared" ca="1" si="37"/>
        <v>12000</v>
      </c>
      <c r="AL48" s="109">
        <f t="shared" ca="1" si="37"/>
        <v>12000</v>
      </c>
      <c r="AM48" s="109">
        <f t="shared" ca="1" si="37"/>
        <v>12000</v>
      </c>
      <c r="AN48" s="109">
        <f t="shared" ca="1" si="37"/>
        <v>12000</v>
      </c>
      <c r="AO48" s="114"/>
    </row>
    <row r="49" spans="2:41" ht="15" thickBot="1">
      <c r="G49" s="54" t="s">
        <v>334</v>
      </c>
      <c r="H49" s="305"/>
      <c r="I49" s="306">
        <f>SUM(I47:I48)</f>
        <v>7480000</v>
      </c>
      <c r="J49" s="307">
        <f ca="1">SUM(J47:J48)</f>
        <v>623333.33333333337</v>
      </c>
      <c r="K49" s="160"/>
      <c r="L49" s="396" t="s">
        <v>284</v>
      </c>
      <c r="M49" s="388">
        <f ca="1">IF(ISBLANK(OFFSET(M49,0,$P$42)),$N49,OFFSET(M49,0,$P$42))</f>
        <v>0.02</v>
      </c>
      <c r="N49" s="624">
        <v>0.02</v>
      </c>
      <c r="O49" s="625"/>
      <c r="P49" s="626"/>
      <c r="Q49" s="200"/>
      <c r="R49" s="27" t="s">
        <v>293</v>
      </c>
      <c r="S49" s="59">
        <f ca="1">S47-S48</f>
        <v>-4</v>
      </c>
      <c r="T49" s="853" t="s">
        <v>335</v>
      </c>
      <c r="U49" s="535" t="s">
        <v>335</v>
      </c>
      <c r="V49" s="535" t="s">
        <v>335</v>
      </c>
      <c r="W49" s="34"/>
      <c r="X49" s="286" t="s">
        <v>336</v>
      </c>
      <c r="Y49" s="829"/>
      <c r="Z49" s="819">
        <f ca="1">Z46-Z48</f>
        <v>0</v>
      </c>
      <c r="AA49" s="819">
        <f t="shared" ref="AA49:AN49" ca="1" si="38">AA46-AA48</f>
        <v>0</v>
      </c>
      <c r="AB49" s="819">
        <f t="shared" ca="1" si="38"/>
        <v>10223.787782428901</v>
      </c>
      <c r="AC49" s="819">
        <f t="shared" ca="1" si="38"/>
        <v>12723.220559635371</v>
      </c>
      <c r="AD49" s="819">
        <f t="shared" ca="1" si="38"/>
        <v>202735.18429821279</v>
      </c>
      <c r="AE49" s="819">
        <f t="shared" ca="1" si="38"/>
        <v>107271.21607317233</v>
      </c>
      <c r="AF49" s="819">
        <f t="shared" ca="1" si="38"/>
        <v>111943.32880138066</v>
      </c>
      <c r="AG49" s="819">
        <f t="shared" ca="1" si="38"/>
        <v>116755.60491143519</v>
      </c>
      <c r="AH49" s="819">
        <f t="shared" ca="1" si="38"/>
        <v>121712.24930479148</v>
      </c>
      <c r="AI49" s="819">
        <f t="shared" ca="1" si="38"/>
        <v>126817.59302994839</v>
      </c>
      <c r="AJ49" s="819">
        <f t="shared" ca="1" si="38"/>
        <v>132076.09706686003</v>
      </c>
      <c r="AK49" s="819">
        <f t="shared" ca="1" si="38"/>
        <v>137492.35622487907</v>
      </c>
      <c r="AL49" s="819">
        <f t="shared" ca="1" si="38"/>
        <v>143071.10315763854</v>
      </c>
      <c r="AM49" s="819">
        <f t="shared" ca="1" si="38"/>
        <v>148817.21249838089</v>
      </c>
      <c r="AN49" s="819">
        <f t="shared" ca="1" si="38"/>
        <v>154735.70511934554</v>
      </c>
      <c r="AO49" s="114"/>
    </row>
    <row r="50" spans="2:41" ht="15" thickBot="1">
      <c r="B50" s="467" t="s">
        <v>337</v>
      </c>
      <c r="C50" s="468">
        <f ca="1">IF(C32+C47&lt;0,-SUM(C32,C47),0)</f>
        <v>895091.80634370819</v>
      </c>
      <c r="D50" s="468">
        <f ca="1">C50/G38</f>
        <v>74590.983861975677</v>
      </c>
      <c r="E50" s="469"/>
      <c r="G50" s="28"/>
      <c r="H50" s="79"/>
      <c r="I50" s="179"/>
      <c r="J50" s="159"/>
      <c r="K50" s="160"/>
      <c r="L50" s="175"/>
      <c r="M50" s="176"/>
      <c r="N50" s="182"/>
      <c r="O50" s="166"/>
      <c r="P50" s="183"/>
      <c r="Q50" s="204"/>
      <c r="R50" s="27" t="s">
        <v>338</v>
      </c>
      <c r="S50" s="59">
        <f ca="1">IF(ISBLANK(OFFSET(S50,0,$T$25)),$T50,OFFSET(S50,0,$T$25))</f>
        <v>30</v>
      </c>
      <c r="T50" s="854">
        <v>30</v>
      </c>
      <c r="U50" s="852"/>
      <c r="V50" s="852"/>
      <c r="W50" s="34"/>
      <c r="X50" s="286"/>
      <c r="Y50" s="829"/>
      <c r="AO50" s="114"/>
    </row>
    <row r="51" spans="2:41" ht="14.65" customHeight="1" thickBot="1">
      <c r="B51" s="467" t="s">
        <v>339</v>
      </c>
      <c r="C51" s="468">
        <f ca="1">SUM(C27:C29,C50)</f>
        <v>6895091.8063437082</v>
      </c>
      <c r="D51" s="468">
        <f ca="1">C51/G38</f>
        <v>574590.98386197572</v>
      </c>
      <c r="E51" s="469"/>
      <c r="G51" s="181" t="s">
        <v>234</v>
      </c>
      <c r="H51" s="176"/>
      <c r="I51" s="179"/>
      <c r="J51" s="159"/>
      <c r="K51" s="160"/>
      <c r="L51" s="28"/>
      <c r="M51" s="79"/>
      <c r="N51" s="2"/>
      <c r="O51" s="166"/>
      <c r="P51" s="185"/>
      <c r="Q51" s="207"/>
      <c r="R51" s="27" t="s">
        <v>340</v>
      </c>
      <c r="S51" s="90">
        <f ca="1">PMT(S45,S50,-S44,0)</f>
        <v>0</v>
      </c>
      <c r="T51" s="855" t="s">
        <v>335</v>
      </c>
      <c r="U51" s="535" t="s">
        <v>335</v>
      </c>
      <c r="V51" s="535" t="s">
        <v>335</v>
      </c>
      <c r="W51" s="34"/>
      <c r="X51" s="67" t="str">
        <f>L77</f>
        <v>Subordinate Loan #4 (residual receipts)</v>
      </c>
      <c r="Z51" s="109">
        <f t="shared" ref="Z51:AN51" ca="1" si="39">IF(Z49&gt;0,MIN(Z$49*$M$83,$M$80*$M$81),0)</f>
        <v>0</v>
      </c>
      <c r="AA51" s="109">
        <f t="shared" ca="1" si="39"/>
        <v>0</v>
      </c>
      <c r="AB51" s="109">
        <f t="shared" ca="1" si="39"/>
        <v>5111.8938912144504</v>
      </c>
      <c r="AC51" s="109">
        <f t="shared" ca="1" si="39"/>
        <v>6361.6102798176853</v>
      </c>
      <c r="AD51" s="109">
        <f t="shared" ca="1" si="39"/>
        <v>9000</v>
      </c>
      <c r="AE51" s="109">
        <f t="shared" ca="1" si="39"/>
        <v>9000</v>
      </c>
      <c r="AF51" s="109">
        <f t="shared" ca="1" si="39"/>
        <v>9000</v>
      </c>
      <c r="AG51" s="109">
        <f t="shared" ca="1" si="39"/>
        <v>9000</v>
      </c>
      <c r="AH51" s="109">
        <f t="shared" ca="1" si="39"/>
        <v>9000</v>
      </c>
      <c r="AI51" s="109">
        <f t="shared" ca="1" si="39"/>
        <v>9000</v>
      </c>
      <c r="AJ51" s="109">
        <f t="shared" ca="1" si="39"/>
        <v>9000</v>
      </c>
      <c r="AK51" s="109">
        <f t="shared" ca="1" si="39"/>
        <v>9000</v>
      </c>
      <c r="AL51" s="109">
        <f t="shared" ca="1" si="39"/>
        <v>9000</v>
      </c>
      <c r="AM51" s="109">
        <f t="shared" ca="1" si="39"/>
        <v>9000</v>
      </c>
      <c r="AN51" s="109">
        <f t="shared" ca="1" si="39"/>
        <v>9000</v>
      </c>
      <c r="AO51" s="114"/>
    </row>
    <row r="52" spans="2:41" ht="27" customHeight="1" thickBot="1">
      <c r="G52" s="28" t="s">
        <v>341</v>
      </c>
      <c r="H52" s="79"/>
      <c r="I52" s="603">
        <v>50000</v>
      </c>
      <c r="J52" s="159">
        <f ca="1">I52/$G$38</f>
        <v>4166.666666666667</v>
      </c>
      <c r="K52" s="160"/>
      <c r="L52" s="54" t="s">
        <v>342</v>
      </c>
      <c r="M52" s="188"/>
      <c r="N52" s="189"/>
      <c r="O52" s="189"/>
      <c r="P52" s="190"/>
      <c r="Q52" s="34"/>
      <c r="R52" s="88" t="s">
        <v>297</v>
      </c>
      <c r="S52" s="65">
        <f ca="1">IF(ISBLANK(OFFSET(S52,0,$T$25)),$T52,OFFSET(S52,0,$T$25))</f>
        <v>1.1499999999999999</v>
      </c>
      <c r="T52" s="665">
        <v>1.1499999999999999</v>
      </c>
      <c r="U52" s="666"/>
      <c r="V52" s="665"/>
      <c r="X52" s="837" t="s">
        <v>343</v>
      </c>
      <c r="Y52" s="838"/>
      <c r="Z52" s="839">
        <f ca="1">Z49-Z51</f>
        <v>0</v>
      </c>
      <c r="AA52" s="839">
        <f t="shared" ref="AA52:AN52" ca="1" si="40">AA49-AA51</f>
        <v>0</v>
      </c>
      <c r="AB52" s="839">
        <f t="shared" ca="1" si="40"/>
        <v>5111.8938912144504</v>
      </c>
      <c r="AC52" s="839">
        <f t="shared" ca="1" si="40"/>
        <v>6361.6102798176853</v>
      </c>
      <c r="AD52" s="839">
        <f t="shared" ca="1" si="40"/>
        <v>193735.18429821279</v>
      </c>
      <c r="AE52" s="839">
        <f t="shared" ca="1" si="40"/>
        <v>98271.216073172327</v>
      </c>
      <c r="AF52" s="839">
        <f t="shared" ca="1" si="40"/>
        <v>102943.32880138066</v>
      </c>
      <c r="AG52" s="839">
        <f t="shared" ca="1" si="40"/>
        <v>107755.60491143519</v>
      </c>
      <c r="AH52" s="839">
        <f t="shared" ca="1" si="40"/>
        <v>112712.24930479148</v>
      </c>
      <c r="AI52" s="839">
        <f t="shared" ca="1" si="40"/>
        <v>117817.59302994839</v>
      </c>
      <c r="AJ52" s="839">
        <f t="shared" ca="1" si="40"/>
        <v>123076.09706686003</v>
      </c>
      <c r="AK52" s="839">
        <f t="shared" ca="1" si="40"/>
        <v>128492.35622487907</v>
      </c>
      <c r="AL52" s="839">
        <f t="shared" ca="1" si="40"/>
        <v>134071.10315763854</v>
      </c>
      <c r="AM52" s="839">
        <f t="shared" ca="1" si="40"/>
        <v>139817.21249838089</v>
      </c>
      <c r="AN52" s="839">
        <f t="shared" ca="1" si="40"/>
        <v>145735.70511934554</v>
      </c>
      <c r="AO52" s="114"/>
    </row>
    <row r="53" spans="2:41" ht="14.65" customHeight="1">
      <c r="E53" s="102" t="s">
        <v>344</v>
      </c>
      <c r="F53" s="607">
        <v>50870</v>
      </c>
      <c r="G53" s="28" t="s">
        <v>345</v>
      </c>
      <c r="H53" s="79"/>
      <c r="I53" s="109">
        <f ca="1">F53*G38</f>
        <v>610440</v>
      </c>
      <c r="J53" s="159">
        <f ca="1">I53/$G$38</f>
        <v>50870</v>
      </c>
      <c r="K53" s="160"/>
      <c r="L53" s="11" t="s">
        <v>222</v>
      </c>
      <c r="M53" s="387">
        <f ca="1">IF(ISBLANK(OFFSET(M53,0,$P$42)),$N53,OFFSET(M53,0,$P$42))</f>
        <v>50000</v>
      </c>
      <c r="N53" s="627">
        <v>50000</v>
      </c>
      <c r="O53" s="609"/>
      <c r="P53" s="628"/>
      <c r="Q53" s="151"/>
      <c r="R53" s="27"/>
      <c r="S53" s="72"/>
      <c r="T53" s="151"/>
      <c r="U53" s="34"/>
      <c r="V53" s="73"/>
      <c r="X53" s="133"/>
      <c r="Y53" s="111"/>
      <c r="Z53" s="134"/>
      <c r="AA53" s="134"/>
      <c r="AB53" s="134"/>
      <c r="AC53" s="134"/>
      <c r="AD53" s="134"/>
      <c r="AE53" s="134"/>
      <c r="AF53" s="134"/>
      <c r="AG53" s="134"/>
      <c r="AH53" s="134"/>
      <c r="AI53" s="134"/>
      <c r="AJ53" s="134"/>
      <c r="AK53" s="134"/>
      <c r="AL53" s="134"/>
      <c r="AM53" s="134"/>
      <c r="AN53" s="134"/>
      <c r="AO53" s="114"/>
    </row>
    <row r="54" spans="2:41" ht="15" customHeight="1" thickBot="1">
      <c r="E54" s="102" t="s">
        <v>346</v>
      </c>
      <c r="F54" s="608">
        <v>0.25</v>
      </c>
      <c r="G54" s="28" t="s">
        <v>347</v>
      </c>
      <c r="H54" s="79"/>
      <c r="I54" s="603">
        <v>0</v>
      </c>
      <c r="J54" s="159">
        <f ca="1">I54/$G$38</f>
        <v>0</v>
      </c>
      <c r="K54" s="160"/>
      <c r="L54" s="12" t="s">
        <v>280</v>
      </c>
      <c r="M54" s="23">
        <f ca="1">IF(ISBLANK(OFFSET(M54,0,$P$42)),$N54,OFFSET(M54,0,$P$42))</f>
        <v>3.5000000000000003E-2</v>
      </c>
      <c r="N54" s="629">
        <v>3.5000000000000003E-2</v>
      </c>
      <c r="O54" s="619"/>
      <c r="P54" s="630"/>
      <c r="Q54" s="151"/>
      <c r="R54" s="27"/>
      <c r="S54" s="72"/>
      <c r="T54" s="151"/>
      <c r="U54" s="34"/>
      <c r="V54" s="73"/>
      <c r="W54" s="34"/>
      <c r="X54" s="816" t="s">
        <v>348</v>
      </c>
      <c r="Z54" s="109"/>
      <c r="AA54" s="109"/>
      <c r="AB54" s="109"/>
      <c r="AC54" s="109"/>
      <c r="AD54" s="109"/>
      <c r="AE54" s="109"/>
      <c r="AF54" s="109"/>
      <c r="AG54" s="109"/>
      <c r="AH54" s="109"/>
      <c r="AI54" s="109"/>
      <c r="AJ54" s="109"/>
      <c r="AK54" s="109"/>
      <c r="AL54" s="109"/>
      <c r="AM54" s="109"/>
      <c r="AN54" s="109"/>
      <c r="AO54" s="114"/>
    </row>
    <row r="55" spans="2:41" ht="41.45">
      <c r="E55" s="102" t="s">
        <v>349</v>
      </c>
      <c r="F55" s="609" t="s">
        <v>178</v>
      </c>
      <c r="G55" s="28" t="s">
        <v>350</v>
      </c>
      <c r="H55" s="79"/>
      <c r="I55" s="109">
        <f>IF(F55="yes",SUM(I52:I54)*F54,0)</f>
        <v>0</v>
      </c>
      <c r="J55" s="159">
        <f ca="1">I55/$G$38</f>
        <v>0</v>
      </c>
      <c r="K55" s="177"/>
      <c r="L55" s="12" t="s">
        <v>351</v>
      </c>
      <c r="M55" s="59">
        <f ca="1">IF(ISBLANK(OFFSET(M55,0,$P$42)),$N55,OFFSET(M55,0,$P$42))</f>
        <v>3</v>
      </c>
      <c r="N55" s="621">
        <v>3</v>
      </c>
      <c r="O55" s="622"/>
      <c r="P55" s="623"/>
      <c r="Q55" s="151"/>
      <c r="R55" s="54" t="s">
        <v>352</v>
      </c>
      <c r="S55" s="89"/>
      <c r="T55" s="224"/>
      <c r="U55" s="225"/>
      <c r="V55" s="224"/>
      <c r="W55" s="34"/>
      <c r="X55" s="67" t="s">
        <v>353</v>
      </c>
      <c r="Z55" s="109">
        <f t="shared" ref="Z55:AN55" ca="1" si="41">IF(Z52&lt;=0,0,MIN(Z52,Z68))</f>
        <v>0</v>
      </c>
      <c r="AA55" s="109">
        <f t="shared" ca="1" si="41"/>
        <v>0</v>
      </c>
      <c r="AB55" s="109">
        <f t="shared" ca="1" si="41"/>
        <v>5111.8938912144504</v>
      </c>
      <c r="AC55" s="109">
        <f t="shared" ca="1" si="41"/>
        <v>6361.6102798176853</v>
      </c>
      <c r="AD55" s="109">
        <f t="shared" ca="1" si="41"/>
        <v>19434.28166105962</v>
      </c>
      <c r="AE55" s="109">
        <f t="shared" ca="1" si="41"/>
        <v>4890.4825559728633</v>
      </c>
      <c r="AF55" s="109">
        <f t="shared" ca="1" si="41"/>
        <v>4947.1970326520386</v>
      </c>
      <c r="AG55" s="109">
        <f t="shared" ca="1" si="41"/>
        <v>5005.612943631626</v>
      </c>
      <c r="AH55" s="109">
        <f t="shared" ca="1" si="41"/>
        <v>5065.7813319405541</v>
      </c>
      <c r="AI55" s="109">
        <f t="shared" ca="1" si="41"/>
        <v>5127.7547718987335</v>
      </c>
      <c r="AJ55" s="109">
        <f t="shared" ca="1" si="41"/>
        <v>5191.5874150557211</v>
      </c>
      <c r="AK55" s="109">
        <f t="shared" ca="1" si="41"/>
        <v>5257.3350375074369</v>
      </c>
      <c r="AL55" s="109">
        <f t="shared" ca="1" si="41"/>
        <v>5325.0550886325946</v>
      </c>
      <c r="AM55" s="109">
        <f t="shared" ca="1" si="41"/>
        <v>5394.806741291628</v>
      </c>
      <c r="AN55" s="109">
        <f t="shared" ca="1" si="41"/>
        <v>0</v>
      </c>
      <c r="AO55" s="114"/>
    </row>
    <row r="56" spans="2:41" ht="14.45" thickBot="1">
      <c r="E56" s="102" t="s">
        <v>354</v>
      </c>
      <c r="F56" s="608">
        <v>0.17</v>
      </c>
      <c r="G56" s="208" t="s">
        <v>355</v>
      </c>
      <c r="H56" s="209"/>
      <c r="I56" s="210">
        <f ca="1">SUM(I52:I55)*F56</f>
        <v>112274.8</v>
      </c>
      <c r="J56" s="211">
        <f ca="1">I56/$G$38</f>
        <v>9356.2333333333336</v>
      </c>
      <c r="K56" s="160"/>
      <c r="L56" s="396" t="s">
        <v>284</v>
      </c>
      <c r="M56" s="488">
        <f ca="1">IF(ISBLANK(OFFSET(M56,0,$P$42)),$N56,OFFSET(M56,0,$P$42))</f>
        <v>1.4999999999999999E-2</v>
      </c>
      <c r="N56" s="631">
        <v>1.4999999999999999E-2</v>
      </c>
      <c r="O56" s="625"/>
      <c r="P56" s="632"/>
      <c r="Q56" s="151"/>
      <c r="R56" s="11" t="s">
        <v>222</v>
      </c>
      <c r="S56" s="24">
        <f t="shared" ref="S56:S61" ca="1" si="42">IF(ISBLANK(OFFSET(S56,0,$T$25)),$T56,OFFSET(S56,0,$T$25))</f>
        <v>100000</v>
      </c>
      <c r="T56" s="637">
        <v>100000</v>
      </c>
      <c r="U56" s="667">
        <v>50000</v>
      </c>
      <c r="V56" s="637"/>
      <c r="W56" s="34"/>
      <c r="X56" s="837" t="s">
        <v>356</v>
      </c>
      <c r="Y56" s="838"/>
      <c r="Z56" s="839">
        <f ca="1">Z52-Z55</f>
        <v>0</v>
      </c>
      <c r="AA56" s="839">
        <f t="shared" ref="AA56:AN56" ca="1" si="43">AA52-AA55</f>
        <v>0</v>
      </c>
      <c r="AB56" s="839">
        <f t="shared" ca="1" si="43"/>
        <v>0</v>
      </c>
      <c r="AC56" s="839">
        <f t="shared" ca="1" si="43"/>
        <v>0</v>
      </c>
      <c r="AD56" s="839">
        <f t="shared" ca="1" si="43"/>
        <v>174300.90263715317</v>
      </c>
      <c r="AE56" s="839">
        <f t="shared" ca="1" si="43"/>
        <v>93380.733517199464</v>
      </c>
      <c r="AF56" s="839">
        <f t="shared" ca="1" si="43"/>
        <v>97996.131768728621</v>
      </c>
      <c r="AG56" s="839">
        <f t="shared" ca="1" si="43"/>
        <v>102749.99196780357</v>
      </c>
      <c r="AH56" s="839">
        <f t="shared" ca="1" si="43"/>
        <v>107646.46797285092</v>
      </c>
      <c r="AI56" s="839">
        <f t="shared" ca="1" si="43"/>
        <v>112689.83825804965</v>
      </c>
      <c r="AJ56" s="839">
        <f t="shared" ca="1" si="43"/>
        <v>117884.50965180431</v>
      </c>
      <c r="AK56" s="839">
        <f t="shared" ca="1" si="43"/>
        <v>123235.02118737163</v>
      </c>
      <c r="AL56" s="839">
        <f t="shared" ca="1" si="43"/>
        <v>128746.04806900595</v>
      </c>
      <c r="AM56" s="839">
        <f t="shared" ca="1" si="43"/>
        <v>134422.40575708926</v>
      </c>
      <c r="AN56" s="839">
        <f t="shared" ca="1" si="43"/>
        <v>145735.70511934554</v>
      </c>
      <c r="AO56" s="114"/>
    </row>
    <row r="57" spans="2:41" ht="14.45" thickTop="1">
      <c r="G57" s="54" t="s">
        <v>357</v>
      </c>
      <c r="H57" s="305"/>
      <c r="I57" s="306">
        <f ca="1">SUM(I52:I56)</f>
        <v>772714.8</v>
      </c>
      <c r="J57" s="307">
        <f ca="1">SUM(J52:J56)</f>
        <v>64392.899999999994</v>
      </c>
      <c r="K57" s="160"/>
      <c r="L57" s="489"/>
      <c r="M57" s="490"/>
      <c r="N57" s="491"/>
      <c r="O57" s="491"/>
      <c r="P57" s="492"/>
      <c r="Q57" s="151"/>
      <c r="R57" s="12" t="s">
        <v>280</v>
      </c>
      <c r="S57" s="29">
        <f t="shared" ca="1" si="42"/>
        <v>0.02</v>
      </c>
      <c r="T57" s="620">
        <v>0.02</v>
      </c>
      <c r="U57" s="658"/>
      <c r="V57" s="620"/>
      <c r="X57" s="67"/>
      <c r="Z57" s="109"/>
      <c r="AA57" s="109"/>
      <c r="AB57" s="109"/>
      <c r="AC57" s="109"/>
      <c r="AD57" s="109"/>
      <c r="AE57" s="109"/>
      <c r="AF57" s="109"/>
      <c r="AG57" s="109"/>
      <c r="AH57" s="109"/>
      <c r="AI57" s="109"/>
      <c r="AJ57" s="109"/>
      <c r="AK57" s="109"/>
      <c r="AL57" s="109"/>
      <c r="AM57" s="109"/>
      <c r="AN57" s="109"/>
      <c r="AO57" s="114"/>
    </row>
    <row r="58" spans="2:41">
      <c r="D58" s="694"/>
      <c r="G58" s="28"/>
      <c r="H58" s="79"/>
      <c r="I58" s="179"/>
      <c r="J58" s="159"/>
      <c r="K58" s="160"/>
      <c r="L58" s="396" t="s">
        <v>358</v>
      </c>
      <c r="M58" s="383">
        <f ca="1">(C20+M53)/I85</f>
        <v>0.75524482260215975</v>
      </c>
      <c r="N58" s="384"/>
      <c r="O58" s="384"/>
      <c r="P58" s="385"/>
      <c r="Q58" s="10"/>
      <c r="R58" s="27" t="s">
        <v>284</v>
      </c>
      <c r="S58" s="29">
        <f t="shared" ca="1" si="42"/>
        <v>0.01</v>
      </c>
      <c r="T58" s="620">
        <v>0.01</v>
      </c>
      <c r="U58" s="658"/>
      <c r="V58" s="620"/>
      <c r="X58" s="67"/>
      <c r="AO58" s="114"/>
    </row>
    <row r="59" spans="2:41" ht="14.65" customHeight="1">
      <c r="G59" s="181" t="s">
        <v>238</v>
      </c>
      <c r="H59" s="176"/>
      <c r="I59" s="179"/>
      <c r="J59" s="159"/>
      <c r="K59" s="160"/>
      <c r="L59" s="175"/>
      <c r="M59" s="176"/>
      <c r="N59" s="182"/>
      <c r="O59" s="182"/>
      <c r="P59" s="25"/>
      <c r="Q59" s="10"/>
      <c r="R59" s="27" t="s">
        <v>288</v>
      </c>
      <c r="S59" s="59">
        <f t="shared" ca="1" si="42"/>
        <v>15</v>
      </c>
      <c r="T59" s="623">
        <v>15</v>
      </c>
      <c r="U59" s="660"/>
      <c r="V59" s="623"/>
      <c r="X59" s="70" t="s">
        <v>359</v>
      </c>
      <c r="Y59" s="830"/>
      <c r="AA59" s="34"/>
      <c r="AB59" s="35"/>
      <c r="AG59" s="4"/>
      <c r="AH59" s="4"/>
      <c r="AI59" s="4"/>
      <c r="AJ59" s="4"/>
      <c r="AK59" s="4"/>
      <c r="AL59" s="4"/>
      <c r="AM59" s="4"/>
      <c r="AN59" s="4"/>
      <c r="AO59" s="114"/>
    </row>
    <row r="60" spans="2:41" ht="54" customHeight="1" thickBot="1">
      <c r="G60" s="28" t="s">
        <v>360</v>
      </c>
      <c r="H60" s="79"/>
      <c r="I60"/>
      <c r="J60" s="159"/>
      <c r="K60" s="160"/>
      <c r="L60" s="128"/>
      <c r="M60" s="205"/>
      <c r="N60" s="327"/>
      <c r="O60" s="327"/>
      <c r="P60" s="386"/>
      <c r="Q60" s="10"/>
      <c r="R60" s="27" t="s">
        <v>291</v>
      </c>
      <c r="S60" s="59">
        <f t="shared" ca="1" si="42"/>
        <v>2</v>
      </c>
      <c r="T60" s="623">
        <v>2</v>
      </c>
      <c r="U60" s="660">
        <v>3</v>
      </c>
      <c r="V60" s="623"/>
      <c r="W60" s="840" t="s">
        <v>361</v>
      </c>
      <c r="X60" s="67" t="s">
        <v>362</v>
      </c>
      <c r="Y60" s="109"/>
      <c r="Z60" s="20">
        <v>220000</v>
      </c>
      <c r="AA60" s="109">
        <f t="shared" ref="AA60:AN60" ca="1" si="44">Z65+Z55</f>
        <v>162287.17676827812</v>
      </c>
      <c r="AB60" s="109">
        <f t="shared" ca="1" si="44"/>
        <v>106341.23680055626</v>
      </c>
      <c r="AC60" s="109">
        <f t="shared" ca="1" si="44"/>
        <v>108453.13069177071</v>
      </c>
      <c r="AD60" s="109">
        <f t="shared" ca="1" si="44"/>
        <v>111814.7409715884</v>
      </c>
      <c r="AE60" s="109">
        <f t="shared" ca="1" si="44"/>
        <v>128249.02263264802</v>
      </c>
      <c r="AF60" s="109">
        <f t="shared" ca="1" si="44"/>
        <v>130139.50518862088</v>
      </c>
      <c r="AG60" s="109">
        <f t="shared" ca="1" si="44"/>
        <v>132086.70222127292</v>
      </c>
      <c r="AH60" s="109">
        <f t="shared" ca="1" si="44"/>
        <v>134092.31516490455</v>
      </c>
      <c r="AI60" s="109">
        <f t="shared" ca="1" si="44"/>
        <v>136158.0964968451</v>
      </c>
      <c r="AJ60" s="109">
        <f t="shared" ca="1" si="44"/>
        <v>138285.85126874383</v>
      </c>
      <c r="AK60" s="109">
        <f t="shared" ca="1" si="44"/>
        <v>140477.43868379956</v>
      </c>
      <c r="AL60" s="109">
        <f t="shared" ca="1" si="44"/>
        <v>142734.77372130699</v>
      </c>
      <c r="AM60" s="109">
        <f t="shared" ca="1" si="44"/>
        <v>145059.82880993959</v>
      </c>
      <c r="AN60" s="109">
        <f t="shared" ca="1" si="44"/>
        <v>147454.63555123121</v>
      </c>
      <c r="AO60" s="285"/>
    </row>
    <row r="61" spans="2:41" ht="14.65" customHeight="1">
      <c r="G61" s="437" t="s">
        <v>363</v>
      </c>
      <c r="H61" s="79"/>
      <c r="I61" s="603">
        <v>6000</v>
      </c>
      <c r="J61" s="159">
        <f ca="1">I61/$G$38</f>
        <v>500</v>
      </c>
      <c r="K61" s="160"/>
      <c r="L61" s="54" t="s">
        <v>364</v>
      </c>
      <c r="M61" s="163"/>
      <c r="N61" s="496"/>
      <c r="O61" s="189"/>
      <c r="P61" s="190"/>
      <c r="Q61" s="221"/>
      <c r="R61" s="27" t="s">
        <v>338</v>
      </c>
      <c r="S61" s="59">
        <f t="shared" ca="1" si="42"/>
        <v>30</v>
      </c>
      <c r="T61" s="595">
        <v>30</v>
      </c>
      <c r="U61" s="594"/>
      <c r="V61" s="595"/>
      <c r="W61" s="81" t="str">
        <f ca="1">IF(-AO62&lt;=Z60,"Yes","No")</f>
        <v>Yes</v>
      </c>
      <c r="X61" s="286" t="s">
        <v>365</v>
      </c>
      <c r="Y61" s="109"/>
      <c r="Z61" s="833">
        <f t="shared" ref="Z61:AN61" ca="1" si="45">Z60/(SUM(Z21,Z35,Z39,Z41)/12)</f>
        <v>8.8659191958363177</v>
      </c>
      <c r="AA61" s="833">
        <f t="shared" ca="1" si="45"/>
        <v>6.420978748967431</v>
      </c>
      <c r="AB61" s="833">
        <f t="shared" ca="1" si="45"/>
        <v>5.5144036479066791</v>
      </c>
      <c r="AC61" s="833">
        <f t="shared" ca="1" si="45"/>
        <v>5.5410660571540804</v>
      </c>
      <c r="AD61" s="833">
        <f t="shared" ca="1" si="45"/>
        <v>5.3070906265700701</v>
      </c>
      <c r="AE61" s="833">
        <f t="shared" ca="1" si="45"/>
        <v>6</v>
      </c>
      <c r="AF61" s="833">
        <f t="shared" ca="1" si="45"/>
        <v>6</v>
      </c>
      <c r="AG61" s="833">
        <f t="shared" ca="1" si="45"/>
        <v>6</v>
      </c>
      <c r="AH61" s="833">
        <f t="shared" ca="1" si="45"/>
        <v>6</v>
      </c>
      <c r="AI61" s="833">
        <f t="shared" ca="1" si="45"/>
        <v>6</v>
      </c>
      <c r="AJ61" s="833">
        <f t="shared" ca="1" si="45"/>
        <v>6</v>
      </c>
      <c r="AK61" s="833">
        <f t="shared" ca="1" si="45"/>
        <v>6</v>
      </c>
      <c r="AL61" s="833">
        <f t="shared" ca="1" si="45"/>
        <v>6</v>
      </c>
      <c r="AM61" s="833">
        <f t="shared" ca="1" si="45"/>
        <v>6</v>
      </c>
      <c r="AN61" s="833">
        <f t="shared" ca="1" si="45"/>
        <v>6</v>
      </c>
      <c r="AO61" s="285"/>
    </row>
    <row r="62" spans="2:41" ht="33" customHeight="1">
      <c r="G62" s="437" t="s">
        <v>366</v>
      </c>
      <c r="H62" s="79"/>
      <c r="I62" s="603">
        <v>10000</v>
      </c>
      <c r="J62" s="159">
        <f ca="1">I62/$G$38</f>
        <v>833.33333333333337</v>
      </c>
      <c r="K62" s="177"/>
      <c r="L62" s="11" t="s">
        <v>367</v>
      </c>
      <c r="M62" s="24">
        <f ca="1">IF(ISBLANK(OFFSET(M62,0,$P$42)),$N62,OFFSET(M62,0,$P$42))</f>
        <v>50000</v>
      </c>
      <c r="N62" s="627">
        <v>50000</v>
      </c>
      <c r="O62" s="609"/>
      <c r="P62" s="628"/>
      <c r="Q62" s="221"/>
      <c r="R62" s="27" t="s">
        <v>340</v>
      </c>
      <c r="S62" s="90">
        <f ca="1">PMT(S57,S61,-S56,0)</f>
        <v>4464.992229340296</v>
      </c>
      <c r="T62" s="218" t="s">
        <v>335</v>
      </c>
      <c r="U62" s="218" t="s">
        <v>335</v>
      </c>
      <c r="V62" s="218" t="s">
        <v>335</v>
      </c>
      <c r="W62" s="34"/>
      <c r="X62" s="67" t="s">
        <v>368</v>
      </c>
      <c r="Z62" s="109">
        <f t="shared" ref="Z62:AN62" ca="1" si="46">IF(Z23+Z28-Z35-Z39-Z41&lt;0,Z23+Z28-Z35-Z39-Z41,0)</f>
        <v>-54712.823231721894</v>
      </c>
      <c r="AA62" s="109">
        <f t="shared" ca="1" si="46"/>
        <v>-52945.939967721861</v>
      </c>
      <c r="AB62" s="109">
        <f t="shared" ca="1" si="46"/>
        <v>0</v>
      </c>
      <c r="AC62" s="109">
        <f t="shared" ca="1" si="46"/>
        <v>0</v>
      </c>
      <c r="AD62" s="109">
        <f t="shared" ca="1" si="46"/>
        <v>0</v>
      </c>
      <c r="AE62" s="109">
        <f t="shared" ca="1" si="46"/>
        <v>0</v>
      </c>
      <c r="AF62" s="109">
        <f t="shared" ca="1" si="46"/>
        <v>0</v>
      </c>
      <c r="AG62" s="109">
        <f t="shared" ca="1" si="46"/>
        <v>0</v>
      </c>
      <c r="AH62" s="109">
        <f t="shared" ca="1" si="46"/>
        <v>0</v>
      </c>
      <c r="AI62" s="109">
        <f t="shared" ca="1" si="46"/>
        <v>0</v>
      </c>
      <c r="AJ62" s="109">
        <f t="shared" ca="1" si="46"/>
        <v>0</v>
      </c>
      <c r="AK62" s="109">
        <f t="shared" ca="1" si="46"/>
        <v>0</v>
      </c>
      <c r="AL62" s="109">
        <f t="shared" ca="1" si="46"/>
        <v>0</v>
      </c>
      <c r="AM62" s="109">
        <f t="shared" ca="1" si="46"/>
        <v>0</v>
      </c>
      <c r="AN62" s="109">
        <f t="shared" ca="1" si="46"/>
        <v>0</v>
      </c>
      <c r="AO62" s="834">
        <f ca="1">SUM(Z62:AN62)</f>
        <v>-107658.76319944375</v>
      </c>
    </row>
    <row r="63" spans="2:41" ht="14.45">
      <c r="G63" s="437" t="s">
        <v>369</v>
      </c>
      <c r="H63" s="79"/>
      <c r="I63" s="605">
        <v>0</v>
      </c>
      <c r="J63" s="304">
        <f ca="1">I63/$G$38</f>
        <v>0</v>
      </c>
      <c r="K63" s="160"/>
      <c r="L63" s="12" t="s">
        <v>370</v>
      </c>
      <c r="M63" s="24">
        <f ca="1">IF(ISBLANK(OFFSET(M63,0,$P$42)),$N63,OFFSET(M63,0,$P$42))</f>
        <v>200000</v>
      </c>
      <c r="N63" s="627">
        <v>200000</v>
      </c>
      <c r="O63" s="609"/>
      <c r="P63" s="628"/>
      <c r="Q63" s="151"/>
      <c r="R63" s="11" t="s">
        <v>297</v>
      </c>
      <c r="S63" s="525">
        <f ca="1">IF(ISBLANK(OFFSET(S63,0,$T$25)),$T63,OFFSET(S63,0,$T$25))</f>
        <v>1.1499999999999999</v>
      </c>
      <c r="T63" s="668">
        <v>1.1499999999999999</v>
      </c>
      <c r="U63" s="669"/>
      <c r="V63" s="668"/>
      <c r="W63" s="34"/>
      <c r="X63" s="67" t="s">
        <v>371</v>
      </c>
      <c r="Y63" s="255"/>
      <c r="Z63" s="832">
        <f t="shared" ref="Z63:AN63" ca="1" si="47">IF($W$31="Yes",Z62,0)</f>
        <v>-54712.823231721894</v>
      </c>
      <c r="AA63" s="832">
        <f t="shared" ca="1" si="47"/>
        <v>-52945.939967721861</v>
      </c>
      <c r="AB63" s="832">
        <f t="shared" ca="1" si="47"/>
        <v>0</v>
      </c>
      <c r="AC63" s="832">
        <f t="shared" ca="1" si="47"/>
        <v>0</v>
      </c>
      <c r="AD63" s="832">
        <f t="shared" ca="1" si="47"/>
        <v>0</v>
      </c>
      <c r="AE63" s="832">
        <f t="shared" ca="1" si="47"/>
        <v>0</v>
      </c>
      <c r="AF63" s="832">
        <f t="shared" ca="1" si="47"/>
        <v>0</v>
      </c>
      <c r="AG63" s="832">
        <f t="shared" ca="1" si="47"/>
        <v>0</v>
      </c>
      <c r="AH63" s="832">
        <f t="shared" ca="1" si="47"/>
        <v>0</v>
      </c>
      <c r="AI63" s="832">
        <f t="shared" ca="1" si="47"/>
        <v>0</v>
      </c>
      <c r="AJ63" s="832">
        <f t="shared" ca="1" si="47"/>
        <v>0</v>
      </c>
      <c r="AK63" s="832">
        <f t="shared" ca="1" si="47"/>
        <v>0</v>
      </c>
      <c r="AL63" s="832">
        <f t="shared" ca="1" si="47"/>
        <v>0</v>
      </c>
      <c r="AM63" s="832">
        <f t="shared" ca="1" si="47"/>
        <v>0</v>
      </c>
      <c r="AN63" s="832">
        <f t="shared" ca="1" si="47"/>
        <v>0</v>
      </c>
      <c r="AO63" s="284"/>
    </row>
    <row r="64" spans="2:41" ht="14.45">
      <c r="G64" s="181"/>
      <c r="H64" s="176"/>
      <c r="I64" s="179"/>
      <c r="J64" s="159"/>
      <c r="K64" s="160"/>
      <c r="L64" s="12" t="s">
        <v>222</v>
      </c>
      <c r="M64" s="24">
        <f ca="1">MIN(M63,M62*$G$38)</f>
        <v>200000</v>
      </c>
      <c r="N64" s="493" t="s">
        <v>335</v>
      </c>
      <c r="O64" s="493" t="s">
        <v>335</v>
      </c>
      <c r="P64" s="494" t="s">
        <v>335</v>
      </c>
      <c r="Q64" s="151"/>
      <c r="R64" s="471"/>
      <c r="S64" s="106"/>
      <c r="T64" s="235"/>
      <c r="U64" s="106"/>
      <c r="V64" s="107"/>
      <c r="W64" s="34"/>
      <c r="X64" s="67" t="s">
        <v>372</v>
      </c>
      <c r="Z64" s="603">
        <v>3000</v>
      </c>
      <c r="AA64" s="603">
        <v>3000</v>
      </c>
      <c r="AB64" s="603">
        <v>3000</v>
      </c>
      <c r="AC64" s="603">
        <v>3000</v>
      </c>
      <c r="AD64" s="603">
        <v>3000</v>
      </c>
      <c r="AE64" s="603">
        <v>3000</v>
      </c>
      <c r="AF64" s="603">
        <v>3000</v>
      </c>
      <c r="AG64" s="603">
        <v>3000</v>
      </c>
      <c r="AH64" s="603">
        <v>3000</v>
      </c>
      <c r="AI64" s="603">
        <v>3000</v>
      </c>
      <c r="AJ64" s="603">
        <v>3000</v>
      </c>
      <c r="AK64" s="603">
        <v>3000</v>
      </c>
      <c r="AL64" s="603">
        <v>3000</v>
      </c>
      <c r="AM64" s="603">
        <v>3000</v>
      </c>
      <c r="AN64" s="603">
        <v>3001</v>
      </c>
      <c r="AO64" s="287"/>
    </row>
    <row r="65" spans="3:41">
      <c r="G65" s="28" t="s">
        <v>373</v>
      </c>
      <c r="H65" s="176"/>
      <c r="I65" s="179"/>
      <c r="J65" s="159"/>
      <c r="K65" s="160"/>
      <c r="L65" s="12" t="s">
        <v>280</v>
      </c>
      <c r="M65" s="23">
        <f ca="1">IF(ISBLANK(OFFSET(M65,0,$P$42)),$N65,OFFSET(M65,0,$P$42))</f>
        <v>0.03</v>
      </c>
      <c r="N65" s="629">
        <v>0.03</v>
      </c>
      <c r="O65" s="619"/>
      <c r="P65" s="630"/>
      <c r="Q65" s="221"/>
      <c r="R65" s="84" t="s">
        <v>374</v>
      </c>
      <c r="S65" s="815">
        <f ca="1">(C36+S44+S56+M72)/N38</f>
        <v>0.91070335417559523</v>
      </c>
      <c r="V65" s="114"/>
      <c r="X65" s="67" t="s">
        <v>375</v>
      </c>
      <c r="Z65" s="109">
        <f ca="1">IF(Z60+Z63-Z64&gt;0,Z60+Z63-Z64,0)</f>
        <v>162287.17676827812</v>
      </c>
      <c r="AA65" s="109">
        <f t="shared" ref="AA65:AN65" ca="1" si="48">IF(AA60+AA63-AA64&gt;0,AA60+AA63-AA64,0)</f>
        <v>106341.23680055626</v>
      </c>
      <c r="AB65" s="109">
        <f t="shared" ca="1" si="48"/>
        <v>103341.23680055626</v>
      </c>
      <c r="AC65" s="109">
        <f t="shared" ca="1" si="48"/>
        <v>105453.13069177071</v>
      </c>
      <c r="AD65" s="109">
        <f t="shared" ca="1" si="48"/>
        <v>108814.7409715884</v>
      </c>
      <c r="AE65" s="109">
        <f t="shared" ca="1" si="48"/>
        <v>125249.02263264802</v>
      </c>
      <c r="AF65" s="109">
        <f t="shared" ca="1" si="48"/>
        <v>127139.50518862088</v>
      </c>
      <c r="AG65" s="109">
        <f t="shared" ca="1" si="48"/>
        <v>129086.70222127292</v>
      </c>
      <c r="AH65" s="109">
        <f t="shared" ca="1" si="48"/>
        <v>131092.31516490455</v>
      </c>
      <c r="AI65" s="109">
        <f t="shared" ca="1" si="48"/>
        <v>133158.0964968451</v>
      </c>
      <c r="AJ65" s="109">
        <f t="shared" ca="1" si="48"/>
        <v>135285.85126874383</v>
      </c>
      <c r="AK65" s="109">
        <f t="shared" ca="1" si="48"/>
        <v>137477.43868379956</v>
      </c>
      <c r="AL65" s="109">
        <f t="shared" ca="1" si="48"/>
        <v>139734.77372130699</v>
      </c>
      <c r="AM65" s="109">
        <f t="shared" ca="1" si="48"/>
        <v>142059.82880993959</v>
      </c>
      <c r="AN65" s="109">
        <f t="shared" ca="1" si="48"/>
        <v>144453.63555123121</v>
      </c>
      <c r="AO65" s="287"/>
    </row>
    <row r="66" spans="3:41" ht="15" thickBot="1">
      <c r="G66" s="437" t="s">
        <v>376</v>
      </c>
      <c r="H66" s="79"/>
      <c r="I66" s="603">
        <v>7000</v>
      </c>
      <c r="J66" s="159">
        <f ca="1">I66/$G$38</f>
        <v>583.33333333333337</v>
      </c>
      <c r="K66" s="160"/>
      <c r="L66" s="12" t="s">
        <v>377</v>
      </c>
      <c r="M66" s="23">
        <f ca="1">IF(ISBLANK(OFFSET(M66,0,$P$42)),$N66,OFFSET(M66,0,$P$42))</f>
        <v>0.01</v>
      </c>
      <c r="N66" s="629">
        <v>0.01</v>
      </c>
      <c r="O66" s="619"/>
      <c r="P66" s="630"/>
      <c r="Q66" s="151"/>
      <c r="R66" s="94"/>
      <c r="S66" s="214"/>
      <c r="U66" s="166"/>
      <c r="V66" s="215"/>
      <c r="X66" s="286" t="s">
        <v>378</v>
      </c>
      <c r="Z66" s="833">
        <f t="shared" ref="Z66:AN66" ca="1" si="49">Z65/(SUM(AA21,AA35,AA39,AA41)/12)</f>
        <v>6.420978748967431</v>
      </c>
      <c r="AA66" s="833">
        <f t="shared" ca="1" si="49"/>
        <v>5.5144036479066791</v>
      </c>
      <c r="AB66" s="833">
        <f t="shared" ca="1" si="49"/>
        <v>5.2798901782494525</v>
      </c>
      <c r="AC66" s="833">
        <f t="shared" ca="1" si="49"/>
        <v>5.0051479489539679</v>
      </c>
      <c r="AD66" s="833">
        <f t="shared" ca="1" si="49"/>
        <v>5.0907869114889168</v>
      </c>
      <c r="AE66" s="833">
        <f t="shared" ca="1" si="49"/>
        <v>5.7745273789591529</v>
      </c>
      <c r="AF66" s="833">
        <f t="shared" ca="1" si="49"/>
        <v>5.7752750148445173</v>
      </c>
      <c r="AG66" s="833">
        <f t="shared" ca="1" si="49"/>
        <v>5.7760223796206747</v>
      </c>
      <c r="AH66" s="833">
        <f t="shared" ca="1" si="49"/>
        <v>5.776769147236517</v>
      </c>
      <c r="AI66" s="833">
        <f t="shared" ca="1" si="49"/>
        <v>5.7775149926827947</v>
      </c>
      <c r="AJ66" s="833">
        <f t="shared" ca="1" si="49"/>
        <v>5.7782595925567177</v>
      </c>
      <c r="AK66" s="833">
        <f t="shared" ca="1" si="49"/>
        <v>5.7790026256206142</v>
      </c>
      <c r="AL66" s="833">
        <f t="shared" ca="1" si="49"/>
        <v>5.7797437733525969</v>
      </c>
      <c r="AM66" s="833">
        <f t="shared" ca="1" si="49"/>
        <v>5.780482720487254</v>
      </c>
      <c r="AN66" s="833" t="e">
        <f t="shared" ca="1" si="49"/>
        <v>#DIV/0!</v>
      </c>
      <c r="AO66" s="287"/>
    </row>
    <row r="67" spans="3:41" ht="28.15" thickBot="1">
      <c r="G67" s="437" t="s">
        <v>379</v>
      </c>
      <c r="H67" s="79"/>
      <c r="I67" s="603">
        <v>8000</v>
      </c>
      <c r="J67" s="159">
        <f ca="1">I67/$G$38</f>
        <v>666.66666666666663</v>
      </c>
      <c r="K67" s="160"/>
      <c r="L67" s="495" t="s">
        <v>380</v>
      </c>
      <c r="M67" s="497">
        <f ca="1">IF(ISBLANK(OFFSET(M67,0,$P$42)),$N67,OFFSET(M67,0,$P$42))</f>
        <v>0.5</v>
      </c>
      <c r="N67" s="633">
        <v>0.5</v>
      </c>
      <c r="O67" s="634"/>
      <c r="P67" s="635"/>
      <c r="Q67" s="151"/>
      <c r="R67" s="807" t="s">
        <v>381</v>
      </c>
      <c r="S67" s="163"/>
      <c r="T67" s="496"/>
      <c r="U67" s="189"/>
      <c r="V67" s="190"/>
      <c r="W67" s="34"/>
      <c r="X67" s="67" t="s">
        <v>382</v>
      </c>
      <c r="Y67" s="109"/>
      <c r="Z67" s="109">
        <f t="shared" ref="Z67:AN67" ca="1" si="50">($V$9/12)*(AA21+AA35+AA39+AA41)</f>
        <v>151647.13958386093</v>
      </c>
      <c r="AA67" s="109">
        <f t="shared" ca="1" si="50"/>
        <v>115705.6069055711</v>
      </c>
      <c r="AB67" s="109">
        <f t="shared" ca="1" si="50"/>
        <v>117435.66624882229</v>
      </c>
      <c r="AC67" s="109">
        <f t="shared" ca="1" si="50"/>
        <v>126413.60267539283</v>
      </c>
      <c r="AD67" s="109">
        <f t="shared" ca="1" si="50"/>
        <v>128249.02263264802</v>
      </c>
      <c r="AE67" s="109">
        <f t="shared" ca="1" si="50"/>
        <v>130139.50518862088</v>
      </c>
      <c r="AF67" s="109">
        <f t="shared" ca="1" si="50"/>
        <v>132086.70222127292</v>
      </c>
      <c r="AG67" s="109">
        <f t="shared" ca="1" si="50"/>
        <v>134092.31516490455</v>
      </c>
      <c r="AH67" s="109">
        <f t="shared" ca="1" si="50"/>
        <v>136158.0964968451</v>
      </c>
      <c r="AI67" s="109">
        <f t="shared" ca="1" si="50"/>
        <v>138285.85126874383</v>
      </c>
      <c r="AJ67" s="109">
        <f t="shared" ca="1" si="50"/>
        <v>140477.43868379956</v>
      </c>
      <c r="AK67" s="109">
        <f t="shared" ca="1" si="50"/>
        <v>142734.77372130699</v>
      </c>
      <c r="AL67" s="109">
        <f t="shared" ca="1" si="50"/>
        <v>145059.82880993959</v>
      </c>
      <c r="AM67" s="109">
        <f t="shared" ca="1" si="50"/>
        <v>147454.63555123121</v>
      </c>
      <c r="AN67" s="109">
        <f t="shared" si="50"/>
        <v>0</v>
      </c>
      <c r="AO67" s="285"/>
    </row>
    <row r="68" spans="3:41" ht="28.15" thickBot="1">
      <c r="G68" s="437" t="s">
        <v>383</v>
      </c>
      <c r="H68" s="79"/>
      <c r="I68" s="603">
        <v>10000</v>
      </c>
      <c r="J68" s="159">
        <f ca="1">I68/$G$38</f>
        <v>833.33333333333337</v>
      </c>
      <c r="K68" s="160"/>
      <c r="L68" s="12"/>
      <c r="M68" s="486"/>
      <c r="N68" s="47"/>
      <c r="O68" s="47"/>
      <c r="P68" s="487"/>
      <c r="Q68" s="151"/>
      <c r="R68" s="84" t="s">
        <v>384</v>
      </c>
      <c r="S68" s="24">
        <f t="shared" ref="S68" ca="1" si="51">IF(ISBLANK(OFFSET(S68,0,$T$25)),$T68,OFFSET(S68,0,$T$25))</f>
        <v>200000</v>
      </c>
      <c r="T68" s="803">
        <v>200000</v>
      </c>
      <c r="U68" s="804"/>
      <c r="V68" s="811"/>
      <c r="W68" s="34"/>
      <c r="X68" s="368" t="s">
        <v>385</v>
      </c>
      <c r="Y68" s="519"/>
      <c r="Z68" s="109">
        <f t="shared" ref="Z68:AN68" ca="1" si="52">IF(Z65&gt;Z67,0,Z67-Z65)</f>
        <v>0</v>
      </c>
      <c r="AA68" s="109">
        <f t="shared" ca="1" si="52"/>
        <v>9364.3701050148375</v>
      </c>
      <c r="AB68" s="109">
        <f t="shared" ca="1" si="52"/>
        <v>14094.429448266033</v>
      </c>
      <c r="AC68" s="109">
        <f t="shared" ca="1" si="52"/>
        <v>20960.471983622119</v>
      </c>
      <c r="AD68" s="109">
        <f t="shared" ca="1" si="52"/>
        <v>19434.28166105962</v>
      </c>
      <c r="AE68" s="109">
        <f t="shared" ca="1" si="52"/>
        <v>4890.4825559728633</v>
      </c>
      <c r="AF68" s="109">
        <f t="shared" ca="1" si="52"/>
        <v>4947.1970326520386</v>
      </c>
      <c r="AG68" s="109">
        <f t="shared" ca="1" si="52"/>
        <v>5005.612943631626</v>
      </c>
      <c r="AH68" s="109">
        <f t="shared" ca="1" si="52"/>
        <v>5065.7813319405541</v>
      </c>
      <c r="AI68" s="109">
        <f t="shared" ca="1" si="52"/>
        <v>5127.7547718987335</v>
      </c>
      <c r="AJ68" s="109">
        <f t="shared" ca="1" si="52"/>
        <v>5191.5874150557211</v>
      </c>
      <c r="AK68" s="109">
        <f t="shared" ca="1" si="52"/>
        <v>5257.3350375074369</v>
      </c>
      <c r="AL68" s="109">
        <f t="shared" ca="1" si="52"/>
        <v>5325.0550886325946</v>
      </c>
      <c r="AM68" s="109">
        <f t="shared" ca="1" si="52"/>
        <v>5394.806741291628</v>
      </c>
      <c r="AN68" s="109">
        <f t="shared" ca="1" si="52"/>
        <v>0</v>
      </c>
      <c r="AO68" s="835">
        <f ca="1">SUM(Z68:AN68)</f>
        <v>110059.16611654581</v>
      </c>
    </row>
    <row r="69" spans="3:41" ht="15" thickBot="1">
      <c r="G69" s="437" t="s">
        <v>386</v>
      </c>
      <c r="H69" s="79"/>
      <c r="I69" s="605">
        <v>0</v>
      </c>
      <c r="J69" s="304">
        <f ca="1">I69/$G$38</f>
        <v>0</v>
      </c>
      <c r="K69" s="160"/>
      <c r="L69" s="54" t="s">
        <v>387</v>
      </c>
      <c r="M69" s="163"/>
      <c r="N69" s="496"/>
      <c r="O69" s="189"/>
      <c r="P69" s="190"/>
      <c r="Q69" s="151"/>
      <c r="R69" s="62" t="s">
        <v>388</v>
      </c>
      <c r="S69" s="810">
        <f ca="1">IF(ISBLANK(OFFSET(S69,0,$T$25)),$T69,OFFSET(S69,0,$T$25))</f>
        <v>5</v>
      </c>
      <c r="T69" s="812">
        <v>5</v>
      </c>
      <c r="U69" s="813"/>
      <c r="V69" s="814"/>
      <c r="W69" s="34"/>
      <c r="X69" s="286"/>
      <c r="Z69" s="187"/>
      <c r="AA69" s="187"/>
      <c r="AB69" s="187"/>
      <c r="AC69" s="187"/>
      <c r="AD69" s="187"/>
      <c r="AE69" s="187"/>
      <c r="AF69" s="187"/>
      <c r="AG69" s="187"/>
      <c r="AH69" s="187"/>
      <c r="AI69" s="187"/>
      <c r="AJ69" s="187"/>
      <c r="AK69" s="187"/>
      <c r="AL69" s="187"/>
      <c r="AM69" s="187"/>
      <c r="AN69" s="187"/>
      <c r="AO69" s="288"/>
    </row>
    <row r="70" spans="3:41">
      <c r="G70" s="437"/>
      <c r="H70" s="79"/>
      <c r="I70" s="179"/>
      <c r="J70" s="159"/>
      <c r="K70" s="160"/>
      <c r="L70" s="11" t="s">
        <v>367</v>
      </c>
      <c r="M70" s="24">
        <f ca="1">IF(ISBLANK(OFFSET(M70,0,$P$42)),$N70,OFFSET(M70,0,$P$42))</f>
        <v>100000</v>
      </c>
      <c r="N70" s="627">
        <v>100000</v>
      </c>
      <c r="O70" s="609"/>
      <c r="P70" s="628"/>
      <c r="R70" s="91"/>
      <c r="S70" s="205"/>
      <c r="U70" s="219"/>
      <c r="V70" s="215"/>
      <c r="W70" s="34"/>
      <c r="X70" s="67"/>
      <c r="AD70" s="202"/>
      <c r="AE70" s="202"/>
      <c r="AF70" s="202"/>
      <c r="AG70" s="202"/>
      <c r="AH70" s="202"/>
      <c r="AI70" s="202"/>
      <c r="AJ70" s="202"/>
      <c r="AK70" s="202"/>
      <c r="AL70" s="203"/>
      <c r="AM70" s="194"/>
      <c r="AN70" s="36"/>
      <c r="AO70" s="289"/>
    </row>
    <row r="71" spans="3:41" ht="14.45" thickBot="1">
      <c r="G71" s="28" t="s">
        <v>389</v>
      </c>
      <c r="H71" s="79"/>
      <c r="I71" s="179"/>
      <c r="J71" s="159"/>
      <c r="K71" s="160"/>
      <c r="L71" s="12" t="s">
        <v>370</v>
      </c>
      <c r="M71" s="24">
        <f ca="1">IF(ISBLANK(OFFSET(M71,0,$P$42)),$N71,OFFSET(M71,0,$P$42))</f>
        <v>400000</v>
      </c>
      <c r="N71" s="627">
        <v>400000</v>
      </c>
      <c r="O71" s="609"/>
      <c r="P71" s="628"/>
      <c r="R71" s="91"/>
      <c r="S71" s="205"/>
      <c r="U71" s="220"/>
      <c r="V71" s="25"/>
      <c r="W71" s="230"/>
      <c r="X71" s="70" t="s">
        <v>390</v>
      </c>
      <c r="Y71" s="830"/>
      <c r="AD71" s="203"/>
      <c r="AE71" s="203"/>
      <c r="AF71" s="203"/>
      <c r="AG71" s="203"/>
      <c r="AH71" s="203"/>
      <c r="AI71" s="203"/>
      <c r="AJ71" s="203"/>
      <c r="AK71" s="203"/>
      <c r="AL71" s="34"/>
      <c r="AM71" s="197"/>
      <c r="AN71" s="36"/>
      <c r="AO71" s="114"/>
    </row>
    <row r="72" spans="3:41" ht="27.6">
      <c r="G72" s="437" t="s">
        <v>391</v>
      </c>
      <c r="H72" s="79"/>
      <c r="I72" s="605">
        <v>0</v>
      </c>
      <c r="J72" s="159">
        <f ca="1">I72/$G$38</f>
        <v>0</v>
      </c>
      <c r="K72" s="160"/>
      <c r="L72" s="12" t="s">
        <v>222</v>
      </c>
      <c r="M72" s="24">
        <f ca="1">MIN(M71,M70*$G$38)</f>
        <v>400000</v>
      </c>
      <c r="N72" s="493" t="s">
        <v>335</v>
      </c>
      <c r="O72" s="493" t="s">
        <v>335</v>
      </c>
      <c r="P72" s="494" t="s">
        <v>335</v>
      </c>
      <c r="R72" s="809" t="s">
        <v>392</v>
      </c>
      <c r="S72" s="394"/>
      <c r="T72" s="496"/>
      <c r="U72" s="189"/>
      <c r="V72" s="190"/>
      <c r="W72" s="230"/>
      <c r="X72" s="67" t="s">
        <v>393</v>
      </c>
      <c r="Z72" s="787">
        <v>10000</v>
      </c>
      <c r="AA72" s="187">
        <f t="shared" ref="AA72:AN72" ca="1" si="53">Z75</f>
        <v>24000</v>
      </c>
      <c r="AB72" s="187">
        <f t="shared" ca="1" si="53"/>
        <v>38540</v>
      </c>
      <c r="AC72" s="187">
        <f t="shared" ca="1" si="53"/>
        <v>53636.2</v>
      </c>
      <c r="AD72" s="187">
        <f t="shared" ca="1" si="53"/>
        <v>69305.285999999993</v>
      </c>
      <c r="AE72" s="187">
        <f t="shared" ca="1" si="53"/>
        <v>85564.444579999996</v>
      </c>
      <c r="AF72" s="187">
        <f t="shared" ca="1" si="53"/>
        <v>102431.37791740001</v>
      </c>
      <c r="AG72" s="187">
        <f t="shared" ca="1" si="53"/>
        <v>119924.31925492201</v>
      </c>
      <c r="AH72" s="187">
        <f t="shared" ca="1" si="53"/>
        <v>138062.04883256968</v>
      </c>
      <c r="AI72" s="187">
        <f t="shared" ca="1" si="53"/>
        <v>156863.91029754677</v>
      </c>
      <c r="AJ72" s="187">
        <f t="shared" ca="1" si="53"/>
        <v>176349.82760647318</v>
      </c>
      <c r="AK72" s="187">
        <f t="shared" ca="1" si="53"/>
        <v>196540.32243466738</v>
      </c>
      <c r="AL72" s="187">
        <f t="shared" ca="1" si="53"/>
        <v>217456.5321077074</v>
      </c>
      <c r="AM72" s="187">
        <f t="shared" ca="1" si="53"/>
        <v>239120.22807093864</v>
      </c>
      <c r="AN72" s="187">
        <f t="shared" ca="1" si="53"/>
        <v>261553.83491306682</v>
      </c>
      <c r="AO72" s="114"/>
    </row>
    <row r="73" spans="3:41">
      <c r="E73" s="102" t="s">
        <v>394</v>
      </c>
      <c r="F73" s="187">
        <f ca="1">(C20*M47*M48)+(C20*M49)+(C21*M54*M48)+(C21*M56)+(C22*M66)+(C23*M74)+(C24*M82)+(C41*S31)+(C42*S58)</f>
        <v>1797489.8847685009</v>
      </c>
      <c r="G73" s="437" t="s">
        <v>395</v>
      </c>
      <c r="H73" s="79"/>
      <c r="I73" s="606">
        <v>400000</v>
      </c>
      <c r="J73" s="159">
        <f ca="1">I73/$G$38</f>
        <v>33333.333333333336</v>
      </c>
      <c r="K73" s="160"/>
      <c r="L73" s="12" t="s">
        <v>280</v>
      </c>
      <c r="M73" s="23">
        <f ca="1">IF(ISBLANK(OFFSET(M73,0,$P$42)),$N73,OFFSET(M73,0,$P$42))</f>
        <v>0.03</v>
      </c>
      <c r="N73" s="629">
        <v>0.03</v>
      </c>
      <c r="O73" s="619"/>
      <c r="P73" s="630"/>
      <c r="R73" s="84" t="s">
        <v>396</v>
      </c>
      <c r="S73" s="24">
        <f ca="1">IF(ISBLANK(OFFSET(S73,0,$T$25)),T73,OFFSET(S73,0,T25))</f>
        <v>100000</v>
      </c>
      <c r="T73" s="803">
        <v>100000</v>
      </c>
      <c r="U73" s="804"/>
      <c r="V73" s="806"/>
      <c r="W73" s="34"/>
      <c r="X73" s="67" t="s">
        <v>397</v>
      </c>
      <c r="Z73" s="109">
        <f t="shared" ref="Z73:AN73" ca="1" si="54">Z19</f>
        <v>18000</v>
      </c>
      <c r="AA73" s="109">
        <f t="shared" ca="1" si="54"/>
        <v>18540</v>
      </c>
      <c r="AB73" s="109">
        <f t="shared" ca="1" si="54"/>
        <v>19096.2</v>
      </c>
      <c r="AC73" s="109">
        <f t="shared" ca="1" si="54"/>
        <v>19669.086000000003</v>
      </c>
      <c r="AD73" s="109">
        <f t="shared" ca="1" si="54"/>
        <v>20259.158580000003</v>
      </c>
      <c r="AE73" s="109">
        <f t="shared" ca="1" si="54"/>
        <v>20866.933337400005</v>
      </c>
      <c r="AF73" s="109">
        <f t="shared" ca="1" si="54"/>
        <v>21492.941337522007</v>
      </c>
      <c r="AG73" s="109">
        <f t="shared" ca="1" si="54"/>
        <v>22137.729577647668</v>
      </c>
      <c r="AH73" s="109">
        <f t="shared" ca="1" si="54"/>
        <v>22801.861464977097</v>
      </c>
      <c r="AI73" s="109">
        <f t="shared" ca="1" si="54"/>
        <v>23485.917308926411</v>
      </c>
      <c r="AJ73" s="109">
        <f t="shared" ca="1" si="54"/>
        <v>24190.494828194205</v>
      </c>
      <c r="AK73" s="109">
        <f t="shared" ca="1" si="54"/>
        <v>24916.209673040034</v>
      </c>
      <c r="AL73" s="109">
        <f t="shared" ca="1" si="54"/>
        <v>25663.695963231236</v>
      </c>
      <c r="AM73" s="109">
        <f t="shared" ca="1" si="54"/>
        <v>26433.606842128174</v>
      </c>
      <c r="AN73" s="109">
        <f t="shared" ca="1" si="54"/>
        <v>27226.615047392021</v>
      </c>
      <c r="AO73" s="114"/>
    </row>
    <row r="74" spans="3:41" ht="14.45" thickBot="1">
      <c r="G74" s="437" t="s">
        <v>398</v>
      </c>
      <c r="H74" s="79"/>
      <c r="I74" s="603">
        <v>80000</v>
      </c>
      <c r="J74" s="159">
        <f ca="1">I74/$G$38</f>
        <v>6666.666666666667</v>
      </c>
      <c r="K74" s="177"/>
      <c r="L74" s="12" t="s">
        <v>377</v>
      </c>
      <c r="M74" s="23">
        <f ca="1">IF(ISBLANK(OFFSET(M74,0,$P$42)),$N74,OFFSET(M74,0,$P$42))</f>
        <v>0.01</v>
      </c>
      <c r="N74" s="629">
        <v>0.01</v>
      </c>
      <c r="O74" s="619"/>
      <c r="P74" s="630"/>
      <c r="R74" s="62" t="s">
        <v>399</v>
      </c>
      <c r="S74" s="810">
        <f ca="1">IF(ISBLANK(OFFSET(S74,0,T25)),T74,OFFSET(S74,0,$T$25))</f>
        <v>6</v>
      </c>
      <c r="T74" s="812">
        <v>6</v>
      </c>
      <c r="U74" s="813"/>
      <c r="V74" s="814"/>
      <c r="X74" s="67" t="s">
        <v>400</v>
      </c>
      <c r="Z74" s="603">
        <v>4000</v>
      </c>
      <c r="AA74" s="603">
        <v>4000</v>
      </c>
      <c r="AB74" s="603">
        <v>4000</v>
      </c>
      <c r="AC74" s="603">
        <v>4000</v>
      </c>
      <c r="AD74" s="603">
        <v>4000</v>
      </c>
      <c r="AE74" s="603">
        <v>4000</v>
      </c>
      <c r="AF74" s="603">
        <v>4000</v>
      </c>
      <c r="AG74" s="603">
        <v>4000</v>
      </c>
      <c r="AH74" s="603">
        <v>4000</v>
      </c>
      <c r="AI74" s="603">
        <v>4000</v>
      </c>
      <c r="AJ74" s="603">
        <v>4000</v>
      </c>
      <c r="AK74" s="603">
        <v>4000</v>
      </c>
      <c r="AL74" s="603">
        <v>4000</v>
      </c>
      <c r="AM74" s="603">
        <v>4000</v>
      </c>
      <c r="AN74" s="603">
        <v>4000</v>
      </c>
      <c r="AO74" s="114"/>
    </row>
    <row r="75" spans="3:41" ht="28.15" thickBot="1">
      <c r="E75" s="102" t="s">
        <v>401</v>
      </c>
      <c r="F75" s="610">
        <v>6</v>
      </c>
      <c r="G75" s="437" t="s">
        <v>402</v>
      </c>
      <c r="H75" s="79"/>
      <c r="I75" s="109">
        <f ca="1">(F75/12)*V20*G38</f>
        <v>9000</v>
      </c>
      <c r="J75" s="159">
        <f>V20</f>
        <v>1500</v>
      </c>
      <c r="K75" s="160"/>
      <c r="L75" s="495" t="s">
        <v>380</v>
      </c>
      <c r="M75" s="497">
        <f ca="1">IF(ISBLANK(OFFSET(M75,0,$P$42)),$N75,OFFSET(M75,0,$P$42))</f>
        <v>0.5</v>
      </c>
      <c r="N75" s="633">
        <v>0.5</v>
      </c>
      <c r="O75" s="634"/>
      <c r="P75" s="635"/>
      <c r="R75"/>
      <c r="S75"/>
      <c r="T75"/>
      <c r="U75"/>
      <c r="V75"/>
      <c r="X75" s="67" t="s">
        <v>403</v>
      </c>
      <c r="Z75" s="213">
        <f t="shared" ref="Z75:AN75" ca="1" si="55">Z72+Z73-Z74</f>
        <v>24000</v>
      </c>
      <c r="AA75" s="213">
        <f t="shared" ca="1" si="55"/>
        <v>38540</v>
      </c>
      <c r="AB75" s="213">
        <f t="shared" ca="1" si="55"/>
        <v>53636.2</v>
      </c>
      <c r="AC75" s="213">
        <f t="shared" ca="1" si="55"/>
        <v>69305.285999999993</v>
      </c>
      <c r="AD75" s="213">
        <f t="shared" ca="1" si="55"/>
        <v>85564.444579999996</v>
      </c>
      <c r="AE75" s="213">
        <f t="shared" ca="1" si="55"/>
        <v>102431.37791740001</v>
      </c>
      <c r="AF75" s="213">
        <f t="shared" ca="1" si="55"/>
        <v>119924.31925492201</v>
      </c>
      <c r="AG75" s="213">
        <f t="shared" ca="1" si="55"/>
        <v>138062.04883256968</v>
      </c>
      <c r="AH75" s="213">
        <f t="shared" ca="1" si="55"/>
        <v>156863.91029754677</v>
      </c>
      <c r="AI75" s="213">
        <f t="shared" ca="1" si="55"/>
        <v>176349.82760647318</v>
      </c>
      <c r="AJ75" s="213">
        <f t="shared" ca="1" si="55"/>
        <v>196540.32243466738</v>
      </c>
      <c r="AK75" s="213">
        <f t="shared" ca="1" si="55"/>
        <v>217456.5321077074</v>
      </c>
      <c r="AL75" s="213">
        <f t="shared" ca="1" si="55"/>
        <v>239120.22807093864</v>
      </c>
      <c r="AM75" s="213">
        <f t="shared" ca="1" si="55"/>
        <v>261553.83491306682</v>
      </c>
      <c r="AN75" s="213">
        <f t="shared" ca="1" si="55"/>
        <v>284780.44996045885</v>
      </c>
      <c r="AO75" s="114"/>
    </row>
    <row r="76" spans="3:41" ht="15" thickBot="1">
      <c r="E76" s="102" t="s">
        <v>404</v>
      </c>
      <c r="F76" s="610">
        <v>6</v>
      </c>
      <c r="G76" s="437" t="s">
        <v>405</v>
      </c>
      <c r="H76" s="79"/>
      <c r="I76" s="109">
        <f ca="1">(F76/12)*((SUM(I49,I57,I61:I69,I72:I74,I77:I82)*M46*M47)+(M53*M54)+(Z21))</f>
        <v>350953.14010000002</v>
      </c>
      <c r="J76" s="159">
        <f t="shared" ref="J76:J82" ca="1" si="56">I76/$G$38</f>
        <v>29246.095008333334</v>
      </c>
      <c r="K76" s="177"/>
      <c r="L76" s="12"/>
      <c r="M76" s="486"/>
      <c r="N76" s="47"/>
      <c r="O76" s="47"/>
      <c r="P76" s="487"/>
      <c r="R76"/>
      <c r="S76"/>
      <c r="T76"/>
      <c r="U76"/>
      <c r="V76"/>
      <c r="X76" s="290" t="s">
        <v>406</v>
      </c>
      <c r="Y76" s="831"/>
      <c r="Z76" s="692">
        <f ca="1">Z75/$G$38</f>
        <v>2000</v>
      </c>
      <c r="AA76" s="692">
        <f t="shared" ref="AA76:AN76" ca="1" si="57">AA75/$G$38</f>
        <v>3211.6666666666665</v>
      </c>
      <c r="AB76" s="692">
        <f t="shared" ca="1" si="57"/>
        <v>4469.6833333333334</v>
      </c>
      <c r="AC76" s="692">
        <f t="shared" ca="1" si="57"/>
        <v>5775.4404999999997</v>
      </c>
      <c r="AD76" s="692">
        <f t="shared" ca="1" si="57"/>
        <v>7130.3703816666666</v>
      </c>
      <c r="AE76" s="692">
        <f t="shared" ca="1" si="57"/>
        <v>8535.9481597833346</v>
      </c>
      <c r="AF76" s="692">
        <f t="shared" ca="1" si="57"/>
        <v>9993.6932712435009</v>
      </c>
      <c r="AG76" s="692">
        <f t="shared" ca="1" si="57"/>
        <v>11505.170736047474</v>
      </c>
      <c r="AH76" s="692">
        <f t="shared" ca="1" si="57"/>
        <v>13071.992524795563</v>
      </c>
      <c r="AI76" s="692">
        <f t="shared" ca="1" si="57"/>
        <v>14695.818967206098</v>
      </c>
      <c r="AJ76" s="692">
        <f t="shared" ca="1" si="57"/>
        <v>16378.360202888949</v>
      </c>
      <c r="AK76" s="692">
        <f t="shared" ca="1" si="57"/>
        <v>18121.377675642285</v>
      </c>
      <c r="AL76" s="692">
        <f t="shared" ca="1" si="57"/>
        <v>19926.68567257822</v>
      </c>
      <c r="AM76" s="692">
        <f t="shared" ca="1" si="57"/>
        <v>21796.152909422235</v>
      </c>
      <c r="AN76" s="692">
        <f t="shared" ca="1" si="57"/>
        <v>23731.704163371571</v>
      </c>
      <c r="AO76" s="171"/>
    </row>
    <row r="77" spans="3:41" ht="14.45">
      <c r="G77" s="437" t="s">
        <v>407</v>
      </c>
      <c r="H77" s="79"/>
      <c r="I77" s="603">
        <v>0</v>
      </c>
      <c r="J77" s="159">
        <f t="shared" ca="1" si="56"/>
        <v>0</v>
      </c>
      <c r="L77" s="54" t="s">
        <v>408</v>
      </c>
      <c r="M77" s="163"/>
      <c r="N77" s="496"/>
      <c r="O77" s="189"/>
      <c r="P77" s="190"/>
      <c r="R77"/>
      <c r="S77"/>
      <c r="T77"/>
      <c r="U77"/>
      <c r="V77"/>
      <c r="X77" s="34"/>
      <c r="Y77" s="34"/>
      <c r="AA77" s="4"/>
      <c r="AB77" s="5"/>
      <c r="AC77" s="5"/>
      <c r="AD77" s="34"/>
      <c r="AE77" s="34"/>
      <c r="AF77" s="34"/>
      <c r="AG77" s="34"/>
      <c r="AH77" s="34"/>
      <c r="AI77" s="34"/>
      <c r="AJ77" s="34"/>
      <c r="AK77" s="34"/>
      <c r="AL77" s="36"/>
      <c r="AM77" s="217"/>
    </row>
    <row r="78" spans="3:41" ht="14.45">
      <c r="C78" s="441" t="s">
        <v>409</v>
      </c>
      <c r="G78" s="437" t="s">
        <v>410</v>
      </c>
      <c r="H78" s="79"/>
      <c r="I78" s="603">
        <v>160000</v>
      </c>
      <c r="J78" s="159">
        <f t="shared" ca="1" si="56"/>
        <v>13333.333333333334</v>
      </c>
      <c r="L78" s="11" t="s">
        <v>367</v>
      </c>
      <c r="M78" s="24">
        <f ca="1">IF(ISBLANK(OFFSET(M78,0,$P$42)),$N78,OFFSET(M78,0,$P$42))</f>
        <v>75000</v>
      </c>
      <c r="N78" s="627">
        <v>75000</v>
      </c>
      <c r="O78" s="609"/>
      <c r="P78" s="628"/>
      <c r="R78"/>
      <c r="S78"/>
      <c r="T78"/>
      <c r="U78"/>
      <c r="V78"/>
      <c r="W78"/>
      <c r="X78" s="34"/>
      <c r="Y78" s="34"/>
      <c r="AA78" s="4"/>
      <c r="AB78" s="4"/>
      <c r="AC78" s="4"/>
      <c r="AD78" s="36"/>
      <c r="AE78" s="36"/>
      <c r="AF78" s="36"/>
      <c r="AG78" s="36"/>
      <c r="AH78" s="36"/>
      <c r="AI78" s="36"/>
      <c r="AJ78" s="36"/>
      <c r="AK78" s="36"/>
      <c r="AL78" s="34"/>
      <c r="AM78" s="34"/>
    </row>
    <row r="79" spans="3:41" ht="14.45">
      <c r="C79" s="205" t="s">
        <v>411</v>
      </c>
      <c r="G79" s="437" t="s">
        <v>228</v>
      </c>
      <c r="H79" s="79"/>
      <c r="I79" s="603">
        <v>45000</v>
      </c>
      <c r="J79" s="159">
        <f t="shared" ca="1" si="56"/>
        <v>3750</v>
      </c>
      <c r="L79" s="12" t="s">
        <v>370</v>
      </c>
      <c r="M79" s="24">
        <f ca="1">IF(ISBLANK(OFFSET(M79,0,$P$42)),$N79,OFFSET(M79,0,$P$42))</f>
        <v>300000</v>
      </c>
      <c r="N79" s="627">
        <v>300000</v>
      </c>
      <c r="O79" s="609"/>
      <c r="P79" s="628"/>
      <c r="R79"/>
      <c r="S79"/>
      <c r="T79"/>
      <c r="U79"/>
      <c r="V79"/>
      <c r="W79"/>
      <c r="X79" s="34"/>
      <c r="Y79" s="34"/>
      <c r="AA79" s="4"/>
      <c r="AB79" s="4"/>
      <c r="AC79" s="4"/>
      <c r="AD79" s="36"/>
      <c r="AE79" s="36"/>
      <c r="AF79" s="36"/>
      <c r="AG79" s="36"/>
      <c r="AH79" s="36"/>
      <c r="AI79" s="36"/>
      <c r="AJ79" s="36"/>
      <c r="AK79" s="36"/>
      <c r="AL79" s="34"/>
      <c r="AM79" s="34"/>
    </row>
    <row r="80" spans="3:41" ht="15.6">
      <c r="C80" s="205" t="s">
        <v>412</v>
      </c>
      <c r="G80" s="437" t="s">
        <v>413</v>
      </c>
      <c r="H80" s="79"/>
      <c r="I80" s="670">
        <v>40000</v>
      </c>
      <c r="J80" s="159">
        <f t="shared" ca="1" si="56"/>
        <v>3333.3333333333335</v>
      </c>
      <c r="L80" s="12" t="s">
        <v>222</v>
      </c>
      <c r="M80" s="24">
        <f ca="1">MIN(M79,M78*$G$38)</f>
        <v>300000</v>
      </c>
      <c r="N80" s="493" t="s">
        <v>335</v>
      </c>
      <c r="O80" s="493" t="s">
        <v>335</v>
      </c>
      <c r="P80" s="494" t="s">
        <v>335</v>
      </c>
      <c r="R80"/>
      <c r="S80"/>
      <c r="T80"/>
      <c r="U80"/>
      <c r="V80"/>
      <c r="W80"/>
      <c r="X80" s="848" t="s">
        <v>414</v>
      </c>
      <c r="Z80" s="34"/>
      <c r="AA80" s="203"/>
      <c r="AB80" s="203"/>
      <c r="AC80" s="203"/>
      <c r="AD80" s="34"/>
      <c r="AE80" s="34"/>
      <c r="AF80" s="34"/>
      <c r="AG80" s="34"/>
      <c r="AH80" s="36"/>
      <c r="AI80" s="34"/>
      <c r="AJ80" s="34"/>
      <c r="AK80" s="34"/>
      <c r="AL80" s="216"/>
    </row>
    <row r="81" spans="3:40" ht="15.6">
      <c r="C81" s="102" t="s">
        <v>415</v>
      </c>
      <c r="D81" s="611">
        <v>0.2</v>
      </c>
      <c r="E81" s="102" t="s">
        <v>416</v>
      </c>
      <c r="F81" s="609" t="s">
        <v>174</v>
      </c>
      <c r="G81" s="437" t="s">
        <v>417</v>
      </c>
      <c r="H81" s="79"/>
      <c r="I81" s="440">
        <f ca="1">IF(F81="Flat",D81*I57,D82+(D83*G38))</f>
        <v>154542.96000000002</v>
      </c>
      <c r="J81" s="159">
        <f t="shared" ca="1" si="56"/>
        <v>12878.580000000002</v>
      </c>
      <c r="L81" s="12" t="s">
        <v>280</v>
      </c>
      <c r="M81" s="23">
        <f ca="1">IF(ISBLANK(OFFSET(M81,0,$P$42)),$N81,OFFSET(M81,0,$P$42))</f>
        <v>0.03</v>
      </c>
      <c r="N81" s="629">
        <v>0.03</v>
      </c>
      <c r="O81" s="619"/>
      <c r="P81" s="630"/>
      <c r="R81"/>
      <c r="S81"/>
      <c r="T81"/>
      <c r="U81"/>
      <c r="V81"/>
      <c r="W81"/>
      <c r="X81" s="849" t="str">
        <f>B41</f>
        <v>Perm Senior Loan</v>
      </c>
      <c r="Y81" s="216"/>
      <c r="Z81" s="520"/>
      <c r="AA81" s="33"/>
      <c r="AB81" s="34"/>
      <c r="AC81" s="34"/>
      <c r="AD81" s="216"/>
      <c r="AE81" s="216"/>
      <c r="AF81" s="216"/>
      <c r="AG81" s="216"/>
      <c r="AH81" s="216"/>
      <c r="AI81" s="216"/>
      <c r="AJ81" s="216"/>
      <c r="AK81" s="216"/>
      <c r="AL81" s="217"/>
    </row>
    <row r="82" spans="3:40" ht="14.45">
      <c r="C82" s="102" t="s">
        <v>418</v>
      </c>
      <c r="D82" s="605">
        <v>50000</v>
      </c>
      <c r="G82" s="437" t="s">
        <v>419</v>
      </c>
      <c r="H82" s="79"/>
      <c r="I82" s="670">
        <v>0</v>
      </c>
      <c r="J82" s="304">
        <f t="shared" ca="1" si="56"/>
        <v>0</v>
      </c>
      <c r="L82" s="12" t="s">
        <v>377</v>
      </c>
      <c r="M82" s="23">
        <f ca="1">IF(ISBLANK(OFFSET(M82,0,$P$42)),$N82,OFFSET(M82,0,$P$42))</f>
        <v>0.01</v>
      </c>
      <c r="N82" s="629">
        <v>0.01</v>
      </c>
      <c r="O82" s="619"/>
      <c r="P82" s="630"/>
      <c r="R82"/>
      <c r="S82"/>
      <c r="T82"/>
      <c r="U82"/>
      <c r="V82"/>
      <c r="W82"/>
      <c r="X82" s="842" t="s">
        <v>420</v>
      </c>
      <c r="Z82" s="187">
        <f ca="1">C41</f>
        <v>1488119.0937562918</v>
      </c>
      <c r="AA82" s="109">
        <f ca="1">Z85</f>
        <v>1488119.0937562918</v>
      </c>
      <c r="AB82" s="109">
        <f t="shared" ref="AB82:AN82" ca="1" si="58">AA85</f>
        <v>1488119.0937562918</v>
      </c>
      <c r="AC82" s="109">
        <f t="shared" ca="1" si="58"/>
        <v>1488119.0937562918</v>
      </c>
      <c r="AD82" s="109">
        <f t="shared" ca="1" si="58"/>
        <v>1488119.0937562918</v>
      </c>
      <c r="AE82" s="109">
        <f t="shared" ca="1" si="58"/>
        <v>1473727.1431502481</v>
      </c>
      <c r="AF82" s="109">
        <f t="shared" ca="1" si="58"/>
        <v>1458255.7962487512</v>
      </c>
      <c r="AG82" s="109">
        <f t="shared" ca="1" si="58"/>
        <v>1441624.0983296421</v>
      </c>
      <c r="AH82" s="109">
        <f t="shared" ca="1" si="58"/>
        <v>1423745.0230665999</v>
      </c>
      <c r="AI82" s="109">
        <f t="shared" ca="1" si="58"/>
        <v>1404525.0171588294</v>
      </c>
      <c r="AJ82" s="109">
        <f t="shared" ca="1" si="58"/>
        <v>1383863.5108079761</v>
      </c>
      <c r="AK82" s="109">
        <f t="shared" ca="1" si="58"/>
        <v>1361652.3914808088</v>
      </c>
      <c r="AL82" s="109">
        <f t="shared" ca="1" si="58"/>
        <v>1337775.4382041041</v>
      </c>
      <c r="AM82" s="109">
        <f t="shared" ca="1" si="58"/>
        <v>1312107.7134316463</v>
      </c>
      <c r="AN82" s="109">
        <f t="shared" ca="1" si="58"/>
        <v>1284514.9093012544</v>
      </c>
    </row>
    <row r="83" spans="3:40" ht="28.15" thickBot="1">
      <c r="C83" s="102" t="s">
        <v>421</v>
      </c>
      <c r="D83" s="612">
        <v>10000</v>
      </c>
      <c r="E83" s="102"/>
      <c r="F83" s="109"/>
      <c r="G83" s="231" t="s">
        <v>422</v>
      </c>
      <c r="H83" s="232"/>
      <c r="I83" s="233">
        <f ca="1">SUM(I60:I82)</f>
        <v>1280496.1000999999</v>
      </c>
      <c r="J83" s="234">
        <f ca="1">SUM(J60:J82)</f>
        <v>107458.00834166666</v>
      </c>
      <c r="L83" s="495" t="s">
        <v>380</v>
      </c>
      <c r="M83" s="497">
        <f ca="1">IF(ISBLANK(OFFSET(M83,0,$P$42)),$N83,OFFSET(M83,0,$P$42))</f>
        <v>0.5</v>
      </c>
      <c r="N83" s="633">
        <v>0.5</v>
      </c>
      <c r="O83" s="634"/>
      <c r="P83" s="635"/>
      <c r="R83"/>
      <c r="S83"/>
      <c r="T83"/>
      <c r="U83"/>
      <c r="V83"/>
      <c r="X83" s="843" t="s">
        <v>423</v>
      </c>
      <c r="Z83" s="850">
        <f ca="1">Z82*$S$30</f>
        <v>111608.93203172188</v>
      </c>
      <c r="AA83" s="850">
        <f ca="1">AA82*$S$30</f>
        <v>111608.93203172188</v>
      </c>
      <c r="AB83" s="850">
        <f t="shared" ref="AB83:AN83" ca="1" si="59">AB82*$S$30</f>
        <v>111608.93203172188</v>
      </c>
      <c r="AC83" s="850">
        <f t="shared" ca="1" si="59"/>
        <v>111608.93203172188</v>
      </c>
      <c r="AD83" s="850">
        <f t="shared" ca="1" si="59"/>
        <v>111608.93203172188</v>
      </c>
      <c r="AE83" s="850">
        <f t="shared" ca="1" si="59"/>
        <v>110529.5357362686</v>
      </c>
      <c r="AF83" s="850">
        <f t="shared" ca="1" si="59"/>
        <v>109369.18471865634</v>
      </c>
      <c r="AG83" s="850">
        <f t="shared" ca="1" si="59"/>
        <v>108121.80737472315</v>
      </c>
      <c r="AH83" s="850">
        <f t="shared" ca="1" si="59"/>
        <v>106780.87672999498</v>
      </c>
      <c r="AI83" s="850">
        <f t="shared" ca="1" si="59"/>
        <v>105339.3762869122</v>
      </c>
      <c r="AJ83" s="850">
        <f t="shared" ca="1" si="59"/>
        <v>103789.76331059821</v>
      </c>
      <c r="AK83" s="850">
        <f t="shared" ca="1" si="59"/>
        <v>102123.92936106065</v>
      </c>
      <c r="AL83" s="850">
        <f t="shared" ca="1" si="59"/>
        <v>100333.1578653078</v>
      </c>
      <c r="AM83" s="850">
        <f t="shared" ca="1" si="59"/>
        <v>98408.078507373473</v>
      </c>
      <c r="AN83" s="850">
        <f t="shared" ca="1" si="59"/>
        <v>96338.618197594085</v>
      </c>
    </row>
    <row r="84" spans="3:40" ht="14.45" thickTop="1">
      <c r="G84" s="67"/>
      <c r="H84" s="51"/>
      <c r="I84" s="179"/>
      <c r="J84" s="159"/>
      <c r="L84" s="12"/>
      <c r="M84" s="486"/>
      <c r="N84" s="47"/>
      <c r="O84" s="47"/>
      <c r="P84" s="487"/>
      <c r="X84" s="842" t="s">
        <v>424</v>
      </c>
      <c r="Z84" s="845">
        <f t="shared" ref="Z84:AN84" ca="1" si="60">Z35</f>
        <v>111608.93203172188</v>
      </c>
      <c r="AA84" s="845">
        <f t="shared" ca="1" si="60"/>
        <v>111608.93203172188</v>
      </c>
      <c r="AB84" s="845">
        <f t="shared" ca="1" si="60"/>
        <v>111608.93203172188</v>
      </c>
      <c r="AC84" s="845">
        <f t="shared" ca="1" si="60"/>
        <v>111608.93203172188</v>
      </c>
      <c r="AD84" s="845">
        <f t="shared" ca="1" si="60"/>
        <v>126000.88263776546</v>
      </c>
      <c r="AE84" s="845">
        <f t="shared" ca="1" si="60"/>
        <v>126000.88263776546</v>
      </c>
      <c r="AF84" s="845">
        <f t="shared" ca="1" si="60"/>
        <v>126000.88263776546</v>
      </c>
      <c r="AG84" s="845">
        <f t="shared" ca="1" si="60"/>
        <v>126000.88263776546</v>
      </c>
      <c r="AH84" s="845">
        <f t="shared" ca="1" si="60"/>
        <v>126000.88263776546</v>
      </c>
      <c r="AI84" s="845">
        <f t="shared" ca="1" si="60"/>
        <v>126000.88263776546</v>
      </c>
      <c r="AJ84" s="845">
        <f t="shared" ca="1" si="60"/>
        <v>126000.88263776546</v>
      </c>
      <c r="AK84" s="845">
        <f t="shared" ca="1" si="60"/>
        <v>126000.88263776546</v>
      </c>
      <c r="AL84" s="845">
        <f t="shared" ca="1" si="60"/>
        <v>126000.88263776546</v>
      </c>
      <c r="AM84" s="845">
        <f t="shared" ca="1" si="60"/>
        <v>126000.88263776546</v>
      </c>
      <c r="AN84" s="845">
        <f t="shared" ca="1" si="60"/>
        <v>126000.88263776546</v>
      </c>
    </row>
    <row r="85" spans="3:40">
      <c r="G85" s="236" t="s">
        <v>425</v>
      </c>
      <c r="H85" s="237"/>
      <c r="I85" s="238">
        <f ca="1">SUM(I49,I57,I83)</f>
        <v>9533210.9001000002</v>
      </c>
      <c r="J85" s="239">
        <f ca="1">SUM(J49,J57,J83)</f>
        <v>795184.24167500006</v>
      </c>
      <c r="L85" s="396" t="s">
        <v>426</v>
      </c>
      <c r="M85" s="383">
        <f ca="1">(C20+M53+M64+M72+M80)/I85</f>
        <v>0.84965162944103489</v>
      </c>
      <c r="N85" s="384"/>
      <c r="O85" s="384"/>
      <c r="P85" s="385"/>
      <c r="X85" s="846" t="s">
        <v>427</v>
      </c>
      <c r="Y85" s="827"/>
      <c r="Z85" s="847">
        <f ca="1">Z82+Z83-Z84</f>
        <v>1488119.0937562918</v>
      </c>
      <c r="AA85" s="847">
        <f t="shared" ref="AA85" ca="1" si="61">AA82+AA83-AA84</f>
        <v>1488119.0937562918</v>
      </c>
      <c r="AB85" s="847">
        <f t="shared" ref="AB85" ca="1" si="62">AB82+AB83-AB84</f>
        <v>1488119.0937562918</v>
      </c>
      <c r="AC85" s="847">
        <f t="shared" ref="AC85" ca="1" si="63">AC82+AC83-AC84</f>
        <v>1488119.0937562918</v>
      </c>
      <c r="AD85" s="847">
        <f t="shared" ref="AD85" ca="1" si="64">AD82+AD83-AD84</f>
        <v>1473727.1431502481</v>
      </c>
      <c r="AE85" s="847">
        <f t="shared" ref="AE85" ca="1" si="65">AE82+AE83-AE84</f>
        <v>1458255.7962487512</v>
      </c>
      <c r="AF85" s="847">
        <f t="shared" ref="AF85" ca="1" si="66">AF82+AF83-AF84</f>
        <v>1441624.0983296421</v>
      </c>
      <c r="AG85" s="847">
        <f t="shared" ref="AG85" ca="1" si="67">AG82+AG83-AG84</f>
        <v>1423745.0230665999</v>
      </c>
      <c r="AH85" s="847">
        <f t="shared" ref="AH85" ca="1" si="68">AH82+AH83-AH84</f>
        <v>1404525.0171588294</v>
      </c>
      <c r="AI85" s="847">
        <f t="shared" ref="AI85" ca="1" si="69">AI82+AI83-AI84</f>
        <v>1383863.5108079761</v>
      </c>
      <c r="AJ85" s="847">
        <f t="shared" ref="AJ85" ca="1" si="70">AJ82+AJ83-AJ84</f>
        <v>1361652.3914808088</v>
      </c>
      <c r="AK85" s="847">
        <f t="shared" ref="AK85" ca="1" si="71">AK82+AK83-AK84</f>
        <v>1337775.4382041041</v>
      </c>
      <c r="AL85" s="847">
        <f t="shared" ref="AL85" ca="1" si="72">AL82+AL83-AL84</f>
        <v>1312107.7134316463</v>
      </c>
      <c r="AM85" s="847">
        <f t="shared" ref="AM85" ca="1" si="73">AM82+AM83-AM84</f>
        <v>1284514.9093012544</v>
      </c>
      <c r="AN85" s="847">
        <f t="shared" ref="AN85" ca="1" si="74">AN82+AN83-AN84</f>
        <v>1254852.644861083</v>
      </c>
    </row>
    <row r="86" spans="3:40">
      <c r="G86" s="79"/>
      <c r="H86" s="240"/>
      <c r="I86" s="240"/>
      <c r="L86" s="27"/>
      <c r="M86" s="382"/>
      <c r="N86" s="49"/>
      <c r="O86" s="49"/>
      <c r="P86" s="395"/>
      <c r="Z86" s="33"/>
      <c r="AA86" s="202"/>
      <c r="AB86" s="202"/>
      <c r="AC86" s="202"/>
    </row>
    <row r="87" spans="3:40" ht="16.149999999999999" thickBot="1">
      <c r="G87" s="79"/>
      <c r="H87" s="241"/>
      <c r="I87" s="241"/>
      <c r="L87" s="27"/>
      <c r="M87" s="382"/>
      <c r="N87" s="49"/>
      <c r="O87" s="49"/>
      <c r="P87" s="395"/>
      <c r="X87" s="473" t="str">
        <f>B21</f>
        <v>Subordinate Loan #1 (IO-&gt;P&amp;I)</v>
      </c>
    </row>
    <row r="88" spans="3:40" ht="21">
      <c r="G88" s="3"/>
      <c r="H88" s="3"/>
      <c r="I88" s="1"/>
      <c r="L88" s="807" t="s">
        <v>428</v>
      </c>
      <c r="M88" s="163"/>
      <c r="N88" s="189"/>
      <c r="O88" s="189"/>
      <c r="P88" s="190"/>
      <c r="X88" s="842" t="s">
        <v>420</v>
      </c>
      <c r="Z88" s="109">
        <f ca="1">S44</f>
        <v>0</v>
      </c>
      <c r="AA88" s="109">
        <f ca="1">Z91</f>
        <v>0</v>
      </c>
      <c r="AB88" s="109">
        <f t="shared" ref="AB88:AN88" ca="1" si="75">AA91</f>
        <v>0</v>
      </c>
      <c r="AC88" s="109">
        <f t="shared" ca="1" si="75"/>
        <v>0</v>
      </c>
      <c r="AD88" s="109">
        <f t="shared" ca="1" si="75"/>
        <v>0</v>
      </c>
      <c r="AE88" s="109">
        <f t="shared" ca="1" si="75"/>
        <v>0</v>
      </c>
      <c r="AF88" s="109">
        <f t="shared" ca="1" si="75"/>
        <v>0</v>
      </c>
      <c r="AG88" s="109">
        <f t="shared" ca="1" si="75"/>
        <v>0</v>
      </c>
      <c r="AH88" s="109">
        <f t="shared" ca="1" si="75"/>
        <v>0</v>
      </c>
      <c r="AI88" s="109">
        <f t="shared" ca="1" si="75"/>
        <v>0</v>
      </c>
      <c r="AJ88" s="109">
        <f t="shared" ca="1" si="75"/>
        <v>0</v>
      </c>
      <c r="AK88" s="109">
        <f t="shared" ca="1" si="75"/>
        <v>0</v>
      </c>
      <c r="AL88" s="109">
        <f t="shared" ca="1" si="75"/>
        <v>0</v>
      </c>
      <c r="AM88" s="109">
        <f t="shared" ca="1" si="75"/>
        <v>0</v>
      </c>
      <c r="AN88" s="109">
        <f t="shared" ca="1" si="75"/>
        <v>0</v>
      </c>
    </row>
    <row r="89" spans="3:40" ht="21">
      <c r="G89" s="3"/>
      <c r="H89" s="3"/>
      <c r="I89" s="1"/>
      <c r="L89" s="84" t="s">
        <v>429</v>
      </c>
      <c r="M89" s="24">
        <f ca="1">IF(ISBLANK(OFFSET(M89,0,$P$42)),$N89,OFFSET(M89,0,$P$42))</f>
        <v>0</v>
      </c>
      <c r="N89" s="636">
        <v>0</v>
      </c>
      <c r="O89" s="609"/>
      <c r="P89" s="637"/>
      <c r="X89" s="843" t="s">
        <v>423</v>
      </c>
      <c r="Z89" s="109">
        <f ca="1">Z88*$S$45</f>
        <v>0</v>
      </c>
      <c r="AA89" s="109">
        <f ca="1">AA88*$S$45</f>
        <v>0</v>
      </c>
      <c r="AB89" s="109">
        <f t="shared" ref="AB89:AN89" ca="1" si="76">AB88*$S$45</f>
        <v>0</v>
      </c>
      <c r="AC89" s="109">
        <f t="shared" ca="1" si="76"/>
        <v>0</v>
      </c>
      <c r="AD89" s="109">
        <f t="shared" ca="1" si="76"/>
        <v>0</v>
      </c>
      <c r="AE89" s="109">
        <f t="shared" ca="1" si="76"/>
        <v>0</v>
      </c>
      <c r="AF89" s="109">
        <f t="shared" ca="1" si="76"/>
        <v>0</v>
      </c>
      <c r="AG89" s="109">
        <f t="shared" ca="1" si="76"/>
        <v>0</v>
      </c>
      <c r="AH89" s="109">
        <f t="shared" ca="1" si="76"/>
        <v>0</v>
      </c>
      <c r="AI89" s="109">
        <f t="shared" ca="1" si="76"/>
        <v>0</v>
      </c>
      <c r="AJ89" s="109">
        <f t="shared" ca="1" si="76"/>
        <v>0</v>
      </c>
      <c r="AK89" s="109">
        <f t="shared" ca="1" si="76"/>
        <v>0</v>
      </c>
      <c r="AL89" s="109">
        <f t="shared" ca="1" si="76"/>
        <v>0</v>
      </c>
      <c r="AM89" s="109">
        <f t="shared" ca="1" si="76"/>
        <v>0</v>
      </c>
      <c r="AN89" s="109">
        <f t="shared" ca="1" si="76"/>
        <v>0</v>
      </c>
    </row>
    <row r="90" spans="3:40">
      <c r="G90" s="79"/>
      <c r="H90" s="241"/>
      <c r="I90" s="241"/>
      <c r="L90" s="84" t="s">
        <v>430</v>
      </c>
      <c r="M90" s="22">
        <f ca="1">IF(ISBLANK(OFFSET(M90,0,$P$42)),$N90,OFFSET(M90,0,$P$42))</f>
        <v>0</v>
      </c>
      <c r="N90" s="638">
        <v>0</v>
      </c>
      <c r="O90" s="608"/>
      <c r="P90" s="639"/>
      <c r="X90" s="842" t="s">
        <v>431</v>
      </c>
      <c r="Z90" s="109">
        <f t="shared" ref="Z90:AN90" ca="1" si="77">Z39</f>
        <v>0</v>
      </c>
      <c r="AA90" s="109">
        <f t="shared" ca="1" si="77"/>
        <v>0</v>
      </c>
      <c r="AB90" s="109">
        <f t="shared" ca="1" si="77"/>
        <v>0</v>
      </c>
      <c r="AC90" s="109">
        <f t="shared" ca="1" si="77"/>
        <v>0</v>
      </c>
      <c r="AD90" s="109">
        <f t="shared" ca="1" si="77"/>
        <v>0</v>
      </c>
      <c r="AE90" s="109">
        <f t="shared" ca="1" si="77"/>
        <v>0</v>
      </c>
      <c r="AF90" s="109">
        <f t="shared" ca="1" si="77"/>
        <v>0</v>
      </c>
      <c r="AG90" s="109">
        <f t="shared" ca="1" si="77"/>
        <v>0</v>
      </c>
      <c r="AH90" s="109">
        <f t="shared" ca="1" si="77"/>
        <v>0</v>
      </c>
      <c r="AI90" s="109">
        <f t="shared" ca="1" si="77"/>
        <v>0</v>
      </c>
      <c r="AJ90" s="109">
        <f t="shared" ca="1" si="77"/>
        <v>0</v>
      </c>
      <c r="AK90" s="109">
        <f t="shared" ca="1" si="77"/>
        <v>0</v>
      </c>
      <c r="AL90" s="109">
        <f t="shared" ca="1" si="77"/>
        <v>0</v>
      </c>
      <c r="AM90" s="109">
        <f t="shared" ca="1" si="77"/>
        <v>0</v>
      </c>
      <c r="AN90" s="109">
        <f t="shared" ca="1" si="77"/>
        <v>0</v>
      </c>
    </row>
    <row r="91" spans="3:40" ht="14.45" thickBot="1">
      <c r="G91" s="242"/>
      <c r="H91" s="241"/>
      <c r="I91" s="241"/>
      <c r="L91" s="62" t="s">
        <v>432</v>
      </c>
      <c r="M91" s="393">
        <f ca="1">IF(ISBLANK(OFFSET(M91,0,$P$42)),$N91,OFFSET(M91,0,$P$42))</f>
        <v>0</v>
      </c>
      <c r="N91" s="640">
        <v>0</v>
      </c>
      <c r="O91" s="641"/>
      <c r="P91" s="642"/>
      <c r="X91" s="846" t="s">
        <v>427</v>
      </c>
      <c r="Y91" s="827"/>
      <c r="Z91" s="485">
        <f ca="1">Z88+Z89-Z90</f>
        <v>0</v>
      </c>
      <c r="AA91" s="485">
        <f ca="1">AA88+AA89-AA90</f>
        <v>0</v>
      </c>
      <c r="AB91" s="485">
        <f t="shared" ref="AB91:AN91" ca="1" si="78">AB88+AB89-AB90</f>
        <v>0</v>
      </c>
      <c r="AC91" s="485">
        <f t="shared" ca="1" si="78"/>
        <v>0</v>
      </c>
      <c r="AD91" s="485">
        <f t="shared" ca="1" si="78"/>
        <v>0</v>
      </c>
      <c r="AE91" s="485">
        <f t="shared" ca="1" si="78"/>
        <v>0</v>
      </c>
      <c r="AF91" s="485">
        <f t="shared" ca="1" si="78"/>
        <v>0</v>
      </c>
      <c r="AG91" s="485">
        <f t="shared" ca="1" si="78"/>
        <v>0</v>
      </c>
      <c r="AH91" s="485">
        <f t="shared" ca="1" si="78"/>
        <v>0</v>
      </c>
      <c r="AI91" s="485">
        <f t="shared" ca="1" si="78"/>
        <v>0</v>
      </c>
      <c r="AJ91" s="485">
        <f t="shared" ca="1" si="78"/>
        <v>0</v>
      </c>
      <c r="AK91" s="485">
        <f t="shared" ca="1" si="78"/>
        <v>0</v>
      </c>
      <c r="AL91" s="485">
        <f t="shared" ca="1" si="78"/>
        <v>0</v>
      </c>
      <c r="AM91" s="485">
        <f t="shared" ca="1" si="78"/>
        <v>0</v>
      </c>
      <c r="AN91" s="485">
        <f t="shared" ca="1" si="78"/>
        <v>0</v>
      </c>
    </row>
    <row r="92" spans="3:40">
      <c r="G92" s="79"/>
      <c r="H92" s="243"/>
      <c r="I92" s="243"/>
      <c r="L92" s="808"/>
      <c r="M92" s="214"/>
      <c r="N92" s="55"/>
      <c r="O92" s="166"/>
      <c r="P92" s="215"/>
    </row>
    <row r="93" spans="3:40" ht="16.149999999999999" thickBot="1">
      <c r="G93" s="79"/>
      <c r="H93" s="243"/>
      <c r="I93" s="243"/>
      <c r="L93" s="84"/>
      <c r="M93" s="205"/>
      <c r="N93" s="55"/>
      <c r="O93" s="166"/>
      <c r="P93" s="215"/>
      <c r="S93" s="56"/>
      <c r="X93" s="849" t="str">
        <f>B22</f>
        <v>Subordinate Loan #2 (residual receipts)</v>
      </c>
      <c r="Y93" s="216"/>
      <c r="Z93" s="520"/>
      <c r="AA93" s="33"/>
      <c r="AB93" s="34"/>
      <c r="AC93" s="34"/>
      <c r="AD93" s="216"/>
      <c r="AE93" s="216"/>
      <c r="AF93" s="216"/>
      <c r="AG93" s="216"/>
      <c r="AH93" s="216"/>
      <c r="AI93" s="216"/>
      <c r="AJ93" s="216"/>
      <c r="AK93" s="216"/>
      <c r="AL93" s="217"/>
    </row>
    <row r="94" spans="3:40">
      <c r="L94" s="807" t="s">
        <v>433</v>
      </c>
      <c r="M94" s="163"/>
      <c r="N94" s="189"/>
      <c r="O94" s="189"/>
      <c r="P94" s="190"/>
      <c r="X94" s="842" t="s">
        <v>420</v>
      </c>
      <c r="Z94" s="109">
        <f ca="1">M64</f>
        <v>200000</v>
      </c>
      <c r="AA94" s="109">
        <f ca="1">Z97</f>
        <v>206000</v>
      </c>
      <c r="AB94" s="109">
        <f t="shared" ref="AB94:AN94" ca="1" si="79">AA97</f>
        <v>212000</v>
      </c>
      <c r="AC94" s="109">
        <f t="shared" ca="1" si="79"/>
        <v>212000</v>
      </c>
      <c r="AD94" s="109">
        <f t="shared" ca="1" si="79"/>
        <v>212000</v>
      </c>
      <c r="AE94" s="109">
        <f t="shared" ca="1" si="79"/>
        <v>212000</v>
      </c>
      <c r="AF94" s="109">
        <f t="shared" ca="1" si="79"/>
        <v>212000</v>
      </c>
      <c r="AG94" s="109">
        <f t="shared" ca="1" si="79"/>
        <v>212000</v>
      </c>
      <c r="AH94" s="109">
        <f t="shared" ca="1" si="79"/>
        <v>212000</v>
      </c>
      <c r="AI94" s="109">
        <f t="shared" ca="1" si="79"/>
        <v>212000</v>
      </c>
      <c r="AJ94" s="109">
        <f t="shared" ca="1" si="79"/>
        <v>212000</v>
      </c>
      <c r="AK94" s="109">
        <f t="shared" ca="1" si="79"/>
        <v>212000</v>
      </c>
      <c r="AL94" s="109">
        <f t="shared" ca="1" si="79"/>
        <v>212000</v>
      </c>
      <c r="AM94" s="109">
        <f t="shared" ca="1" si="79"/>
        <v>212000</v>
      </c>
      <c r="AN94" s="109">
        <f t="shared" ca="1" si="79"/>
        <v>212000</v>
      </c>
    </row>
    <row r="95" spans="3:40" ht="14.45" thickBot="1">
      <c r="L95" s="62" t="s">
        <v>222</v>
      </c>
      <c r="M95" s="392">
        <f ca="1">IF(ISBLANK(OFFSET(M95,0,$P$42)),$N95,OFFSET(M95,0,$P$42))</f>
        <v>150000</v>
      </c>
      <c r="N95" s="643">
        <v>150000</v>
      </c>
      <c r="O95" s="644"/>
      <c r="P95" s="645"/>
      <c r="X95" s="843" t="s">
        <v>423</v>
      </c>
      <c r="Y95" s="223"/>
      <c r="Z95" s="844">
        <f ca="1">$M$64*$M$65</f>
        <v>6000</v>
      </c>
      <c r="AA95" s="844">
        <f ca="1">$M$64*$M$65</f>
        <v>6000</v>
      </c>
      <c r="AB95" s="844">
        <f t="shared" ref="AB95:AN95" ca="1" si="80">$M$64*$M$65</f>
        <v>6000</v>
      </c>
      <c r="AC95" s="844">
        <f t="shared" ca="1" si="80"/>
        <v>6000</v>
      </c>
      <c r="AD95" s="844">
        <f t="shared" ca="1" si="80"/>
        <v>6000</v>
      </c>
      <c r="AE95" s="844">
        <f t="shared" ca="1" si="80"/>
        <v>6000</v>
      </c>
      <c r="AF95" s="844">
        <f t="shared" ca="1" si="80"/>
        <v>6000</v>
      </c>
      <c r="AG95" s="844">
        <f t="shared" ca="1" si="80"/>
        <v>6000</v>
      </c>
      <c r="AH95" s="844">
        <f t="shared" ca="1" si="80"/>
        <v>6000</v>
      </c>
      <c r="AI95" s="844">
        <f t="shared" ca="1" si="80"/>
        <v>6000</v>
      </c>
      <c r="AJ95" s="844">
        <f t="shared" ca="1" si="80"/>
        <v>6000</v>
      </c>
      <c r="AK95" s="844">
        <f t="shared" ca="1" si="80"/>
        <v>6000</v>
      </c>
      <c r="AL95" s="844">
        <f t="shared" ca="1" si="80"/>
        <v>6000</v>
      </c>
      <c r="AM95" s="844">
        <f t="shared" ca="1" si="80"/>
        <v>6000</v>
      </c>
      <c r="AN95" s="844">
        <f t="shared" ca="1" si="80"/>
        <v>6000</v>
      </c>
    </row>
    <row r="96" spans="3:40">
      <c r="L96" s="84"/>
      <c r="M96" s="205"/>
      <c r="N96" s="55"/>
      <c r="O96" s="219"/>
      <c r="P96" s="215"/>
      <c r="X96" s="842" t="s">
        <v>431</v>
      </c>
      <c r="Z96" s="845">
        <f t="shared" ref="Z96:AN96" ca="1" si="81">Z45</f>
        <v>0</v>
      </c>
      <c r="AA96" s="845">
        <f t="shared" ca="1" si="81"/>
        <v>0</v>
      </c>
      <c r="AB96" s="845">
        <f t="shared" ca="1" si="81"/>
        <v>6000</v>
      </c>
      <c r="AC96" s="845">
        <f t="shared" ca="1" si="81"/>
        <v>6000</v>
      </c>
      <c r="AD96" s="845">
        <f t="shared" ca="1" si="81"/>
        <v>6000</v>
      </c>
      <c r="AE96" s="845">
        <f t="shared" ca="1" si="81"/>
        <v>6000</v>
      </c>
      <c r="AF96" s="845">
        <f t="shared" ca="1" si="81"/>
        <v>6000</v>
      </c>
      <c r="AG96" s="845">
        <f t="shared" ca="1" si="81"/>
        <v>6000</v>
      </c>
      <c r="AH96" s="845">
        <f t="shared" ca="1" si="81"/>
        <v>6000</v>
      </c>
      <c r="AI96" s="845">
        <f t="shared" ca="1" si="81"/>
        <v>6000</v>
      </c>
      <c r="AJ96" s="845">
        <f t="shared" ca="1" si="81"/>
        <v>6000</v>
      </c>
      <c r="AK96" s="845">
        <f t="shared" ca="1" si="81"/>
        <v>6000</v>
      </c>
      <c r="AL96" s="845">
        <f t="shared" ca="1" si="81"/>
        <v>6000</v>
      </c>
      <c r="AM96" s="845">
        <f t="shared" ca="1" si="81"/>
        <v>6000</v>
      </c>
      <c r="AN96" s="845">
        <f t="shared" ca="1" si="81"/>
        <v>6000</v>
      </c>
    </row>
    <row r="97" spans="1:40" ht="14.45" thickBot="1">
      <c r="L97" s="84"/>
      <c r="M97" s="205"/>
      <c r="N97" s="55"/>
      <c r="O97" s="220"/>
      <c r="P97" s="25"/>
      <c r="X97" s="846" t="s">
        <v>427</v>
      </c>
      <c r="Y97" s="827"/>
      <c r="Z97" s="847">
        <f ca="1">Z94+Z95-Z96</f>
        <v>206000</v>
      </c>
      <c r="AA97" s="847">
        <f ca="1">AA94+AA95-AA96</f>
        <v>212000</v>
      </c>
      <c r="AB97" s="847">
        <f t="shared" ref="AB97" ca="1" si="82">AB94+AB95-AB96</f>
        <v>212000</v>
      </c>
      <c r="AC97" s="847">
        <f t="shared" ref="AC97" ca="1" si="83">AC94+AC95-AC96</f>
        <v>212000</v>
      </c>
      <c r="AD97" s="847">
        <f t="shared" ref="AD97" ca="1" si="84">AD94+AD95-AD96</f>
        <v>212000</v>
      </c>
      <c r="AE97" s="847">
        <f t="shared" ref="AE97" ca="1" si="85">AE94+AE95-AE96</f>
        <v>212000</v>
      </c>
      <c r="AF97" s="847">
        <f t="shared" ref="AF97" ca="1" si="86">AF94+AF95-AF96</f>
        <v>212000</v>
      </c>
      <c r="AG97" s="847">
        <f t="shared" ref="AG97" ca="1" si="87">AG94+AG95-AG96</f>
        <v>212000</v>
      </c>
      <c r="AH97" s="847">
        <f t="shared" ref="AH97" ca="1" si="88">AH94+AH95-AH96</f>
        <v>212000</v>
      </c>
      <c r="AI97" s="847">
        <f t="shared" ref="AI97" ca="1" si="89">AI94+AI95-AI96</f>
        <v>212000</v>
      </c>
      <c r="AJ97" s="847">
        <f t="shared" ref="AJ97" ca="1" si="90">AJ94+AJ95-AJ96</f>
        <v>212000</v>
      </c>
      <c r="AK97" s="847">
        <f t="shared" ref="AK97" ca="1" si="91">AK94+AK95-AK96</f>
        <v>212000</v>
      </c>
      <c r="AL97" s="847">
        <f t="shared" ref="AL97" ca="1" si="92">AL94+AL95-AL96</f>
        <v>212000</v>
      </c>
      <c r="AM97" s="847">
        <f t="shared" ref="AM97" ca="1" si="93">AM94+AM95-AM96</f>
        <v>212000</v>
      </c>
      <c r="AN97" s="847">
        <f t="shared" ref="AN97" ca="1" si="94">AN94+AN95-AN96</f>
        <v>212000</v>
      </c>
    </row>
    <row r="98" spans="1:40">
      <c r="L98" s="809" t="s">
        <v>434</v>
      </c>
      <c r="M98" s="394"/>
      <c r="N98" s="189"/>
      <c r="O98" s="189"/>
      <c r="P98" s="190"/>
    </row>
    <row r="99" spans="1:40" ht="16.149999999999999" thickBot="1">
      <c r="L99" s="62" t="s">
        <v>222</v>
      </c>
      <c r="M99" s="392">
        <f ca="1">IF(ISBLANK(OFFSET(M99,0,$P$42)),$N99,OFFSET(M99,0,$P$42))</f>
        <v>3000000</v>
      </c>
      <c r="N99" s="643">
        <v>3000000</v>
      </c>
      <c r="O99" s="644"/>
      <c r="P99" s="646">
        <v>4000000</v>
      </c>
      <c r="X99" s="849" t="str">
        <f>B23</f>
        <v>Subordinate Loan #3 (residual receipts)</v>
      </c>
    </row>
    <row r="100" spans="1:40">
      <c r="L100" s="12"/>
      <c r="M100" s="80"/>
      <c r="N100" s="226"/>
      <c r="O100" s="166"/>
      <c r="P100" s="227"/>
      <c r="X100" s="842" t="s">
        <v>420</v>
      </c>
      <c r="Z100" s="109">
        <f ca="1">M72</f>
        <v>400000</v>
      </c>
      <c r="AA100" s="109">
        <f ca="1">Z103</f>
        <v>412000</v>
      </c>
      <c r="AB100" s="109">
        <f t="shared" ref="AB100:AN100" ca="1" si="95">AA103</f>
        <v>424000</v>
      </c>
      <c r="AC100" s="109">
        <f t="shared" ca="1" si="95"/>
        <v>425776.2122175711</v>
      </c>
      <c r="AD100" s="109">
        <f t="shared" ca="1" si="95"/>
        <v>425776.2122175711</v>
      </c>
      <c r="AE100" s="109">
        <f t="shared" ca="1" si="95"/>
        <v>425776.2122175711</v>
      </c>
      <c r="AF100" s="109">
        <f t="shared" ca="1" si="95"/>
        <v>425776.2122175711</v>
      </c>
      <c r="AG100" s="109">
        <f t="shared" ca="1" si="95"/>
        <v>425776.2122175711</v>
      </c>
      <c r="AH100" s="109">
        <f t="shared" ca="1" si="95"/>
        <v>425776.2122175711</v>
      </c>
      <c r="AI100" s="109">
        <f t="shared" ca="1" si="95"/>
        <v>425776.2122175711</v>
      </c>
      <c r="AJ100" s="109">
        <f t="shared" ca="1" si="95"/>
        <v>425776.2122175711</v>
      </c>
      <c r="AK100" s="109">
        <f t="shared" ca="1" si="95"/>
        <v>425776.2122175711</v>
      </c>
      <c r="AL100" s="109">
        <f t="shared" ca="1" si="95"/>
        <v>425776.2122175711</v>
      </c>
      <c r="AM100" s="109">
        <f t="shared" ca="1" si="95"/>
        <v>425776.2122175711</v>
      </c>
      <c r="AN100" s="109">
        <f t="shared" ca="1" si="95"/>
        <v>425776.2122175711</v>
      </c>
    </row>
    <row r="101" spans="1:40" ht="14.45" thickBot="1">
      <c r="L101" s="27"/>
      <c r="M101" s="79"/>
      <c r="N101" s="228"/>
      <c r="O101" s="166"/>
      <c r="P101" s="229"/>
      <c r="X101" s="843" t="s">
        <v>423</v>
      </c>
      <c r="Z101" s="109">
        <f ca="1">$M$72*$M$73</f>
        <v>12000</v>
      </c>
      <c r="AA101" s="109">
        <f ca="1">$M$72*$M$73</f>
        <v>12000</v>
      </c>
      <c r="AB101" s="109">
        <f t="shared" ref="AB101:AN101" ca="1" si="96">$M$72*$M$73</f>
        <v>12000</v>
      </c>
      <c r="AC101" s="109">
        <f t="shared" ca="1" si="96"/>
        <v>12000</v>
      </c>
      <c r="AD101" s="109">
        <f t="shared" ca="1" si="96"/>
        <v>12000</v>
      </c>
      <c r="AE101" s="109">
        <f t="shared" ca="1" si="96"/>
        <v>12000</v>
      </c>
      <c r="AF101" s="109">
        <f t="shared" ca="1" si="96"/>
        <v>12000</v>
      </c>
      <c r="AG101" s="109">
        <f t="shared" ca="1" si="96"/>
        <v>12000</v>
      </c>
      <c r="AH101" s="109">
        <f t="shared" ca="1" si="96"/>
        <v>12000</v>
      </c>
      <c r="AI101" s="109">
        <f t="shared" ca="1" si="96"/>
        <v>12000</v>
      </c>
      <c r="AJ101" s="109">
        <f t="shared" ca="1" si="96"/>
        <v>12000</v>
      </c>
      <c r="AK101" s="109">
        <f t="shared" ca="1" si="96"/>
        <v>12000</v>
      </c>
      <c r="AL101" s="109">
        <f t="shared" ca="1" si="96"/>
        <v>12000</v>
      </c>
      <c r="AM101" s="109">
        <f t="shared" ca="1" si="96"/>
        <v>12000</v>
      </c>
      <c r="AN101" s="109">
        <f t="shared" ca="1" si="96"/>
        <v>12000</v>
      </c>
    </row>
    <row r="102" spans="1:40">
      <c r="L102" s="809" t="s">
        <v>435</v>
      </c>
      <c r="M102" s="394"/>
      <c r="N102" s="189"/>
      <c r="O102" s="189"/>
      <c r="P102" s="190"/>
      <c r="X102" s="842" t="s">
        <v>431</v>
      </c>
      <c r="Z102" s="109">
        <f t="shared" ref="Z102:AN102" ca="1" si="97">Z48</f>
        <v>0</v>
      </c>
      <c r="AA102" s="109">
        <f t="shared" ca="1" si="97"/>
        <v>0</v>
      </c>
      <c r="AB102" s="109">
        <f t="shared" ca="1" si="97"/>
        <v>10223.787782428901</v>
      </c>
      <c r="AC102" s="109">
        <f t="shared" ca="1" si="97"/>
        <v>12000</v>
      </c>
      <c r="AD102" s="109">
        <f t="shared" ca="1" si="97"/>
        <v>12000</v>
      </c>
      <c r="AE102" s="109">
        <f t="shared" ca="1" si="97"/>
        <v>12000</v>
      </c>
      <c r="AF102" s="109">
        <f t="shared" ca="1" si="97"/>
        <v>12000</v>
      </c>
      <c r="AG102" s="109">
        <f t="shared" ca="1" si="97"/>
        <v>12000</v>
      </c>
      <c r="AH102" s="109">
        <f t="shared" ca="1" si="97"/>
        <v>12000</v>
      </c>
      <c r="AI102" s="109">
        <f t="shared" ca="1" si="97"/>
        <v>12000</v>
      </c>
      <c r="AJ102" s="109">
        <f t="shared" ca="1" si="97"/>
        <v>12000</v>
      </c>
      <c r="AK102" s="109">
        <f t="shared" ca="1" si="97"/>
        <v>12000</v>
      </c>
      <c r="AL102" s="109">
        <f t="shared" ca="1" si="97"/>
        <v>12000</v>
      </c>
      <c r="AM102" s="109">
        <f t="shared" ca="1" si="97"/>
        <v>12000</v>
      </c>
      <c r="AN102" s="109">
        <f t="shared" ca="1" si="97"/>
        <v>12000</v>
      </c>
    </row>
    <row r="103" spans="1:40" ht="14.45" thickBot="1">
      <c r="L103" s="62" t="s">
        <v>222</v>
      </c>
      <c r="M103" s="392">
        <f ca="1">IF(ISBLANK(OFFSET(M103,0,$P$42)),$N103,OFFSET(M103,0,$P$42))</f>
        <v>2000000</v>
      </c>
      <c r="N103" s="643">
        <v>2000000</v>
      </c>
      <c r="O103" s="644"/>
      <c r="P103" s="644">
        <v>2550000</v>
      </c>
      <c r="X103" s="846" t="s">
        <v>427</v>
      </c>
      <c r="Y103" s="827"/>
      <c r="Z103" s="485">
        <f ca="1">Z100+Z101-Z102</f>
        <v>412000</v>
      </c>
      <c r="AA103" s="485">
        <f ca="1">AA100+AA101-AA102</f>
        <v>424000</v>
      </c>
      <c r="AB103" s="485">
        <f t="shared" ref="AB103:AN103" ca="1" si="98">AB100+AB101-AB102</f>
        <v>425776.2122175711</v>
      </c>
      <c r="AC103" s="485">
        <f t="shared" ca="1" si="98"/>
        <v>425776.2122175711</v>
      </c>
      <c r="AD103" s="485">
        <f t="shared" ca="1" si="98"/>
        <v>425776.2122175711</v>
      </c>
      <c r="AE103" s="485">
        <f t="shared" ca="1" si="98"/>
        <v>425776.2122175711</v>
      </c>
      <c r="AF103" s="485">
        <f t="shared" ca="1" si="98"/>
        <v>425776.2122175711</v>
      </c>
      <c r="AG103" s="485">
        <f t="shared" ca="1" si="98"/>
        <v>425776.2122175711</v>
      </c>
      <c r="AH103" s="485">
        <f t="shared" ca="1" si="98"/>
        <v>425776.2122175711</v>
      </c>
      <c r="AI103" s="485">
        <f t="shared" ca="1" si="98"/>
        <v>425776.2122175711</v>
      </c>
      <c r="AJ103" s="485">
        <f t="shared" ca="1" si="98"/>
        <v>425776.2122175711</v>
      </c>
      <c r="AK103" s="485">
        <f t="shared" ca="1" si="98"/>
        <v>425776.2122175711</v>
      </c>
      <c r="AL103" s="485">
        <f t="shared" ca="1" si="98"/>
        <v>425776.2122175711</v>
      </c>
      <c r="AM103" s="485">
        <f t="shared" ca="1" si="98"/>
        <v>425776.2122175711</v>
      </c>
      <c r="AN103" s="485">
        <f t="shared" ca="1" si="98"/>
        <v>425776.2122175711</v>
      </c>
    </row>
    <row r="104" spans="1:40">
      <c r="L104" s="12"/>
      <c r="M104" s="80"/>
      <c r="N104" s="14"/>
      <c r="O104" s="166"/>
      <c r="P104" s="229"/>
    </row>
    <row r="105" spans="1:40" ht="16.149999999999999" thickBot="1">
      <c r="L105" s="12"/>
      <c r="M105" s="80"/>
      <c r="N105" s="14"/>
      <c r="O105" s="166"/>
      <c r="P105" s="215"/>
      <c r="X105" s="849" t="str">
        <f>B24</f>
        <v>Subordinate Loan #4 (residual receipts)</v>
      </c>
    </row>
    <row r="106" spans="1:40">
      <c r="L106" s="809" t="s">
        <v>436</v>
      </c>
      <c r="M106" s="394"/>
      <c r="N106" s="235"/>
      <c r="O106" s="13"/>
      <c r="P106" s="165"/>
      <c r="X106" s="842" t="s">
        <v>420</v>
      </c>
      <c r="Z106" s="109">
        <f ca="1">M80</f>
        <v>300000</v>
      </c>
      <c r="AA106" s="109">
        <f ca="1">Z109</f>
        <v>309000</v>
      </c>
      <c r="AB106" s="109">
        <f t="shared" ref="AB106:AN106" ca="1" si="99">AA109</f>
        <v>318000</v>
      </c>
      <c r="AC106" s="109">
        <f t="shared" ca="1" si="99"/>
        <v>321888.10610878555</v>
      </c>
      <c r="AD106" s="109">
        <f t="shared" ca="1" si="99"/>
        <v>324526.49582896789</v>
      </c>
      <c r="AE106" s="109">
        <f t="shared" ca="1" si="99"/>
        <v>324526.49582896789</v>
      </c>
      <c r="AF106" s="109">
        <f t="shared" ca="1" si="99"/>
        <v>324526.49582896789</v>
      </c>
      <c r="AG106" s="109">
        <f t="shared" ca="1" si="99"/>
        <v>324526.49582896789</v>
      </c>
      <c r="AH106" s="109">
        <f t="shared" ca="1" si="99"/>
        <v>324526.49582896789</v>
      </c>
      <c r="AI106" s="109">
        <f t="shared" ca="1" si="99"/>
        <v>324526.49582896789</v>
      </c>
      <c r="AJ106" s="109">
        <f t="shared" ca="1" si="99"/>
        <v>324526.49582896789</v>
      </c>
      <c r="AK106" s="109">
        <f t="shared" ca="1" si="99"/>
        <v>324526.49582896789</v>
      </c>
      <c r="AL106" s="109">
        <f t="shared" ca="1" si="99"/>
        <v>324526.49582896789</v>
      </c>
      <c r="AM106" s="109">
        <f t="shared" ca="1" si="99"/>
        <v>324526.49582896789</v>
      </c>
      <c r="AN106" s="109">
        <f t="shared" ca="1" si="99"/>
        <v>324526.49582896789</v>
      </c>
    </row>
    <row r="107" spans="1:40" ht="14.45" thickBot="1">
      <c r="L107" s="62" t="s">
        <v>222</v>
      </c>
      <c r="M107" s="392">
        <f ca="1">IF(ISBLANK(OFFSET(M107,0,$P$42)),$N107,OFFSET(M107,0,$P$42))</f>
        <v>1000000</v>
      </c>
      <c r="N107" s="643">
        <v>1000000</v>
      </c>
      <c r="O107" s="644">
        <f>N107+1000000</f>
        <v>2000000</v>
      </c>
      <c r="P107" s="645"/>
      <c r="X107" s="843" t="s">
        <v>423</v>
      </c>
      <c r="Z107" s="109">
        <f ca="1">$M$80*$M$81</f>
        <v>9000</v>
      </c>
      <c r="AA107" s="109">
        <f ca="1">$M$80*$M$81</f>
        <v>9000</v>
      </c>
      <c r="AB107" s="109">
        <f t="shared" ref="AB107:AN107" ca="1" si="100">$M$80*$M$81</f>
        <v>9000</v>
      </c>
      <c r="AC107" s="109">
        <f t="shared" ca="1" si="100"/>
        <v>9000</v>
      </c>
      <c r="AD107" s="109">
        <f t="shared" ca="1" si="100"/>
        <v>9000</v>
      </c>
      <c r="AE107" s="109">
        <f t="shared" ca="1" si="100"/>
        <v>9000</v>
      </c>
      <c r="AF107" s="109">
        <f t="shared" ca="1" si="100"/>
        <v>9000</v>
      </c>
      <c r="AG107" s="109">
        <f t="shared" ca="1" si="100"/>
        <v>9000</v>
      </c>
      <c r="AH107" s="109">
        <f t="shared" ca="1" si="100"/>
        <v>9000</v>
      </c>
      <c r="AI107" s="109">
        <f t="shared" ca="1" si="100"/>
        <v>9000</v>
      </c>
      <c r="AJ107" s="109">
        <f t="shared" ca="1" si="100"/>
        <v>9000</v>
      </c>
      <c r="AK107" s="109">
        <f t="shared" ca="1" si="100"/>
        <v>9000</v>
      </c>
      <c r="AL107" s="109">
        <f t="shared" ca="1" si="100"/>
        <v>9000</v>
      </c>
      <c r="AM107" s="109">
        <f t="shared" ca="1" si="100"/>
        <v>9000</v>
      </c>
      <c r="AN107" s="109">
        <f t="shared" ca="1" si="100"/>
        <v>9000</v>
      </c>
    </row>
    <row r="108" spans="1:40">
      <c r="L108" s="102"/>
      <c r="N108" s="151"/>
      <c r="O108" s="151"/>
      <c r="X108" s="842" t="s">
        <v>431</v>
      </c>
      <c r="Z108" s="109">
        <f t="shared" ref="Z108:AN108" ca="1" si="101">Z51</f>
        <v>0</v>
      </c>
      <c r="AA108" s="109">
        <f t="shared" ca="1" si="101"/>
        <v>0</v>
      </c>
      <c r="AB108" s="109">
        <f t="shared" ca="1" si="101"/>
        <v>5111.8938912144504</v>
      </c>
      <c r="AC108" s="109">
        <f t="shared" ca="1" si="101"/>
        <v>6361.6102798176853</v>
      </c>
      <c r="AD108" s="109">
        <f t="shared" ca="1" si="101"/>
        <v>9000</v>
      </c>
      <c r="AE108" s="109">
        <f t="shared" ca="1" si="101"/>
        <v>9000</v>
      </c>
      <c r="AF108" s="109">
        <f t="shared" ca="1" si="101"/>
        <v>9000</v>
      </c>
      <c r="AG108" s="109">
        <f t="shared" ca="1" si="101"/>
        <v>9000</v>
      </c>
      <c r="AH108" s="109">
        <f t="shared" ca="1" si="101"/>
        <v>9000</v>
      </c>
      <c r="AI108" s="109">
        <f t="shared" ca="1" si="101"/>
        <v>9000</v>
      </c>
      <c r="AJ108" s="109">
        <f t="shared" ca="1" si="101"/>
        <v>9000</v>
      </c>
      <c r="AK108" s="109">
        <f t="shared" ca="1" si="101"/>
        <v>9000</v>
      </c>
      <c r="AL108" s="109">
        <f t="shared" ca="1" si="101"/>
        <v>9000</v>
      </c>
      <c r="AM108" s="109">
        <f t="shared" ca="1" si="101"/>
        <v>9000</v>
      </c>
      <c r="AN108" s="109">
        <f t="shared" ca="1" si="101"/>
        <v>9000</v>
      </c>
    </row>
    <row r="109" spans="1:40">
      <c r="X109" s="846" t="s">
        <v>427</v>
      </c>
      <c r="Y109" s="827"/>
      <c r="Z109" s="485">
        <f ca="1">Z106+Z107-Z108</f>
        <v>309000</v>
      </c>
      <c r="AA109" s="485">
        <f ca="1">AA106+AA107-AA108</f>
        <v>318000</v>
      </c>
      <c r="AB109" s="485">
        <f t="shared" ref="AB109:AN109" ca="1" si="102">AB106+AB107-AB108</f>
        <v>321888.10610878555</v>
      </c>
      <c r="AC109" s="485">
        <f t="shared" ca="1" si="102"/>
        <v>324526.49582896789</v>
      </c>
      <c r="AD109" s="485">
        <f t="shared" ca="1" si="102"/>
        <v>324526.49582896789</v>
      </c>
      <c r="AE109" s="485">
        <f t="shared" ca="1" si="102"/>
        <v>324526.49582896789</v>
      </c>
      <c r="AF109" s="485">
        <f t="shared" ca="1" si="102"/>
        <v>324526.49582896789</v>
      </c>
      <c r="AG109" s="485">
        <f t="shared" ca="1" si="102"/>
        <v>324526.49582896789</v>
      </c>
      <c r="AH109" s="485">
        <f t="shared" ca="1" si="102"/>
        <v>324526.49582896789</v>
      </c>
      <c r="AI109" s="485">
        <f t="shared" ca="1" si="102"/>
        <v>324526.49582896789</v>
      </c>
      <c r="AJ109" s="485">
        <f t="shared" ca="1" si="102"/>
        <v>324526.49582896789</v>
      </c>
      <c r="AK109" s="485">
        <f t="shared" ca="1" si="102"/>
        <v>324526.49582896789</v>
      </c>
      <c r="AL109" s="485">
        <f t="shared" ca="1" si="102"/>
        <v>324526.49582896789</v>
      </c>
      <c r="AM109" s="485">
        <f t="shared" ca="1" si="102"/>
        <v>324526.49582896789</v>
      </c>
      <c r="AN109" s="485">
        <f t="shared" ca="1" si="102"/>
        <v>324526.49582896789</v>
      </c>
    </row>
    <row r="110" spans="1:40" ht="14.45">
      <c r="A110"/>
    </row>
    <row r="111" spans="1:40" ht="15.6">
      <c r="A111"/>
      <c r="X111" s="849" t="str">
        <f>B42</f>
        <v>Subordinate Loan #5 (Perm Only)</v>
      </c>
    </row>
    <row r="112" spans="1:40" ht="14.45">
      <c r="A112"/>
      <c r="X112" s="842" t="s">
        <v>420</v>
      </c>
      <c r="Z112" s="187">
        <f ca="1">C42</f>
        <v>100000</v>
      </c>
      <c r="AA112" s="187">
        <f ca="1">Z115</f>
        <v>100000</v>
      </c>
      <c r="AB112" s="187">
        <f t="shared" ref="AB112:AN112" ca="1" si="103">AA115</f>
        <v>100000</v>
      </c>
      <c r="AC112" s="187">
        <f t="shared" ca="1" si="103"/>
        <v>97535.007770659708</v>
      </c>
      <c r="AD112" s="187">
        <f t="shared" ca="1" si="103"/>
        <v>95020.715696732615</v>
      </c>
      <c r="AE112" s="187">
        <f t="shared" ca="1" si="103"/>
        <v>92456.137781326979</v>
      </c>
      <c r="AF112" s="187">
        <f t="shared" ca="1" si="103"/>
        <v>89840.268307613223</v>
      </c>
      <c r="AG112" s="187">
        <f t="shared" ca="1" si="103"/>
        <v>87172.081444425203</v>
      </c>
      <c r="AH112" s="187">
        <f t="shared" ca="1" si="103"/>
        <v>84450.530843973407</v>
      </c>
      <c r="AI112" s="187">
        <f t="shared" ca="1" si="103"/>
        <v>81674.549231512588</v>
      </c>
      <c r="AJ112" s="187">
        <f t="shared" ca="1" si="103"/>
        <v>78843.047986802543</v>
      </c>
      <c r="AK112" s="187">
        <f t="shared" ca="1" si="103"/>
        <v>75954.916717198299</v>
      </c>
      <c r="AL112" s="187">
        <f t="shared" ca="1" si="103"/>
        <v>73009.02282220198</v>
      </c>
      <c r="AM112" s="187">
        <f t="shared" ca="1" si="103"/>
        <v>70004.211049305726</v>
      </c>
      <c r="AN112" s="187">
        <f t="shared" ca="1" si="103"/>
        <v>66939.303040951549</v>
      </c>
    </row>
    <row r="113" spans="1:40" ht="14.45">
      <c r="A113"/>
      <c r="X113" s="843" t="s">
        <v>423</v>
      </c>
      <c r="Z113" s="187">
        <f ca="1">Z112*$S$57</f>
        <v>2000</v>
      </c>
      <c r="AA113" s="187">
        <f ca="1">AA112*$S$57</f>
        <v>2000</v>
      </c>
      <c r="AB113" s="187">
        <f t="shared" ref="AB113:AN113" ca="1" si="104">AB112*$S$57</f>
        <v>2000</v>
      </c>
      <c r="AC113" s="187">
        <f t="shared" ca="1" si="104"/>
        <v>1950.7001554131941</v>
      </c>
      <c r="AD113" s="187">
        <f t="shared" ca="1" si="104"/>
        <v>1900.4143139346525</v>
      </c>
      <c r="AE113" s="187">
        <f t="shared" ca="1" si="104"/>
        <v>1849.1227556265396</v>
      </c>
      <c r="AF113" s="187">
        <f t="shared" ca="1" si="104"/>
        <v>1796.8053661522645</v>
      </c>
      <c r="AG113" s="187">
        <f t="shared" ca="1" si="104"/>
        <v>1743.4416288885041</v>
      </c>
      <c r="AH113" s="187">
        <f t="shared" ca="1" si="104"/>
        <v>1689.0106168794682</v>
      </c>
      <c r="AI113" s="187">
        <f t="shared" ca="1" si="104"/>
        <v>1633.4909846302519</v>
      </c>
      <c r="AJ113" s="187">
        <f t="shared" ca="1" si="104"/>
        <v>1576.860959736051</v>
      </c>
      <c r="AK113" s="187">
        <f t="shared" ca="1" si="104"/>
        <v>1519.0983343439659</v>
      </c>
      <c r="AL113" s="187">
        <f t="shared" ca="1" si="104"/>
        <v>1460.1804564440397</v>
      </c>
      <c r="AM113" s="187">
        <f t="shared" ca="1" si="104"/>
        <v>1400.0842209861146</v>
      </c>
      <c r="AN113" s="187">
        <f t="shared" ca="1" si="104"/>
        <v>1338.786060819031</v>
      </c>
    </row>
    <row r="114" spans="1:40" ht="14.45">
      <c r="A114"/>
      <c r="C114"/>
      <c r="D114"/>
      <c r="X114" s="842" t="s">
        <v>431</v>
      </c>
      <c r="Z114" s="109">
        <f t="shared" ref="Z114:AN114" ca="1" si="105">Z41</f>
        <v>2000</v>
      </c>
      <c r="AA114" s="109">
        <f t="shared" ca="1" si="105"/>
        <v>2000</v>
      </c>
      <c r="AB114" s="109">
        <f t="shared" ca="1" si="105"/>
        <v>4464.992229340296</v>
      </c>
      <c r="AC114" s="109">
        <f t="shared" ca="1" si="105"/>
        <v>4464.992229340296</v>
      </c>
      <c r="AD114" s="109">
        <f t="shared" ca="1" si="105"/>
        <v>4464.992229340296</v>
      </c>
      <c r="AE114" s="109">
        <f t="shared" ca="1" si="105"/>
        <v>4464.992229340296</v>
      </c>
      <c r="AF114" s="109">
        <f t="shared" ca="1" si="105"/>
        <v>4464.992229340296</v>
      </c>
      <c r="AG114" s="109">
        <f t="shared" ca="1" si="105"/>
        <v>4464.992229340296</v>
      </c>
      <c r="AH114" s="109">
        <f t="shared" ca="1" si="105"/>
        <v>4464.992229340296</v>
      </c>
      <c r="AI114" s="109">
        <f t="shared" ca="1" si="105"/>
        <v>4464.992229340296</v>
      </c>
      <c r="AJ114" s="109">
        <f t="shared" ca="1" si="105"/>
        <v>4464.992229340296</v>
      </c>
      <c r="AK114" s="109">
        <f t="shared" ca="1" si="105"/>
        <v>4464.992229340296</v>
      </c>
      <c r="AL114" s="109">
        <f t="shared" ca="1" si="105"/>
        <v>4464.992229340296</v>
      </c>
      <c r="AM114" s="109">
        <f t="shared" ca="1" si="105"/>
        <v>4464.992229340296</v>
      </c>
      <c r="AN114" s="109">
        <f t="shared" ca="1" si="105"/>
        <v>4464.992229340296</v>
      </c>
    </row>
    <row r="115" spans="1:40" ht="14.45">
      <c r="A115"/>
      <c r="C115"/>
      <c r="D115"/>
      <c r="X115" s="846" t="s">
        <v>427</v>
      </c>
      <c r="Y115" s="827"/>
      <c r="Z115" s="856">
        <f ca="1">Z112+Z113-Z114</f>
        <v>100000</v>
      </c>
      <c r="AA115" s="856">
        <f ca="1">AA112+AA113-AA114</f>
        <v>100000</v>
      </c>
      <c r="AB115" s="856">
        <f t="shared" ref="AB115:AN115" ca="1" si="106">AB112+AB113-AB114</f>
        <v>97535.007770659708</v>
      </c>
      <c r="AC115" s="856">
        <f t="shared" ca="1" si="106"/>
        <v>95020.715696732615</v>
      </c>
      <c r="AD115" s="856">
        <f t="shared" ca="1" si="106"/>
        <v>92456.137781326979</v>
      </c>
      <c r="AE115" s="856">
        <f t="shared" ca="1" si="106"/>
        <v>89840.268307613223</v>
      </c>
      <c r="AF115" s="856">
        <f t="shared" ca="1" si="106"/>
        <v>87172.081444425203</v>
      </c>
      <c r="AG115" s="856">
        <f t="shared" ca="1" si="106"/>
        <v>84450.530843973407</v>
      </c>
      <c r="AH115" s="856">
        <f t="shared" ca="1" si="106"/>
        <v>81674.549231512588</v>
      </c>
      <c r="AI115" s="856">
        <f t="shared" ca="1" si="106"/>
        <v>78843.047986802543</v>
      </c>
      <c r="AJ115" s="856">
        <f t="shared" ca="1" si="106"/>
        <v>75954.916717198299</v>
      </c>
      <c r="AK115" s="856">
        <f t="shared" ca="1" si="106"/>
        <v>73009.02282220198</v>
      </c>
      <c r="AL115" s="856">
        <f t="shared" ca="1" si="106"/>
        <v>70004.211049305726</v>
      </c>
      <c r="AM115" s="856">
        <f t="shared" ca="1" si="106"/>
        <v>66939.303040951549</v>
      </c>
      <c r="AN115" s="856">
        <f t="shared" ca="1" si="106"/>
        <v>63813.09687243028</v>
      </c>
    </row>
    <row r="116" spans="1:40" ht="14.45">
      <c r="A116"/>
      <c r="B116"/>
      <c r="C116"/>
      <c r="D116"/>
    </row>
    <row r="117" spans="1:40" ht="14.45">
      <c r="A117"/>
      <c r="B117"/>
      <c r="C117"/>
      <c r="D117"/>
    </row>
    <row r="118" spans="1:40" ht="14.45">
      <c r="A118"/>
      <c r="B118"/>
      <c r="C118"/>
      <c r="D118"/>
    </row>
    <row r="119" spans="1:40" ht="14.45">
      <c r="A119"/>
      <c r="B119"/>
      <c r="C119"/>
      <c r="D119"/>
    </row>
    <row r="120" spans="1:40" ht="14.45">
      <c r="A120"/>
      <c r="B120"/>
      <c r="C120"/>
      <c r="D120"/>
    </row>
    <row r="121" spans="1:40" ht="14.45">
      <c r="A121"/>
      <c r="B121"/>
      <c r="C121"/>
      <c r="D121"/>
    </row>
    <row r="122" spans="1:40" ht="14.45">
      <c r="A122"/>
      <c r="B122"/>
      <c r="C122"/>
      <c r="D122"/>
    </row>
    <row r="123" spans="1:40" ht="14.45">
      <c r="A123"/>
      <c r="B123"/>
      <c r="C123"/>
      <c r="D123"/>
    </row>
    <row r="124" spans="1:40" ht="14.45">
      <c r="A124"/>
      <c r="B124"/>
      <c r="C124"/>
      <c r="D124"/>
    </row>
    <row r="125" spans="1:40" ht="14.45">
      <c r="A125"/>
      <c r="B125"/>
      <c r="C125"/>
      <c r="D125"/>
    </row>
    <row r="126" spans="1:40" ht="14.45">
      <c r="A126"/>
      <c r="B126"/>
      <c r="C126"/>
      <c r="D126"/>
    </row>
    <row r="127" spans="1:40" ht="14.45">
      <c r="A127"/>
      <c r="B127"/>
      <c r="C127"/>
      <c r="D127"/>
    </row>
    <row r="128" spans="1:40" ht="14.45">
      <c r="A128"/>
      <c r="B128"/>
      <c r="C128"/>
      <c r="D128"/>
    </row>
    <row r="129" spans="1:4" ht="14.45">
      <c r="A129"/>
      <c r="B129"/>
      <c r="C129"/>
      <c r="D129"/>
    </row>
    <row r="130" spans="1:4" ht="14.45">
      <c r="A130"/>
      <c r="B130"/>
      <c r="C130"/>
      <c r="D130"/>
    </row>
    <row r="131" spans="1:4" ht="14.45">
      <c r="A131"/>
      <c r="B131"/>
      <c r="C131"/>
      <c r="D131"/>
    </row>
    <row r="132" spans="1:4" ht="14.45">
      <c r="B132"/>
      <c r="C132"/>
      <c r="D132"/>
    </row>
    <row r="133" spans="1:4" ht="14.45">
      <c r="B133"/>
      <c r="C133"/>
      <c r="D133"/>
    </row>
    <row r="134" spans="1:4" ht="14.45">
      <c r="B134"/>
      <c r="C134"/>
      <c r="D134"/>
    </row>
    <row r="135" spans="1:4" ht="14.45">
      <c r="B135"/>
      <c r="C135"/>
      <c r="D135"/>
    </row>
    <row r="136" spans="1:4" ht="14.45">
      <c r="B136"/>
    </row>
    <row r="137" spans="1:4" ht="14.45">
      <c r="B137"/>
    </row>
  </sheetData>
  <sheetProtection algorithmName="SHA-512" hashValue="77FevaexjB6s+E4bhnwCb/hi0X3XuDut2f6qaq7Fh2ihFS4Y0SV69UYBvKxjsn+ODRKz8yCZzx8xmuF7Jf9NNQ==" saltValue="oqFwpW2Hlx92AbHDQXryZA==" spinCount="100000" sheet="1" formatCells="0" formatColumns="0" formatRows="0" insertColumns="0" insertRows="0" insertHyperlinks="0" deleteColumns="0" deleteRows="0" sort="0" autoFilter="0" pivotTables="0"/>
  <protectedRanges>
    <protectedRange algorithmName="SHA-512" hashValue="4WD4xc+PCX3IpxagPOxKyDgkWNosM1PswLxfK7F3MTvH2sore2CgoJ7bPoTsN+AH533Rq12WKIwoEtSprHFRxw==" saltValue="WgJoMmDAM8aZASgKzucKtQ==" spinCount="100000" sqref="N104:N105 H92:I93 P50:P52 U38:V38 Q49 Q42:Q44 T55:V55 T43:V43 T40:T41 P69 P60:P61 P77 T78:T79" name="Locked cells_1_1"/>
    <protectedRange algorithmName="SHA-512" hashValue="4WD4xc+PCX3IpxagPOxKyDgkWNosM1PswLxfK7F3MTvH2sore2CgoJ7bPoTsN+AH533Rq12WKIwoEtSprHFRxw==" saltValue="WgJoMmDAM8aZASgKzucKtQ==" spinCount="100000" sqref="T38:T39" name="Locked cells_1_1_1"/>
  </protectedRanges>
  <phoneticPr fontId="25" type="noConversion"/>
  <conditionalFormatting sqref="C32:C33">
    <cfRule type="expression" dxfId="57" priority="97">
      <formula>$C$32&lt;0</formula>
    </cfRule>
    <cfRule type="expression" dxfId="56" priority="98">
      <formula>$C$32&gt;0</formula>
    </cfRule>
  </conditionalFormatting>
  <conditionalFormatting sqref="C47:E47">
    <cfRule type="cellIs" dxfId="55" priority="72" operator="greaterThan">
      <formula>0</formula>
    </cfRule>
    <cfRule type="cellIs" dxfId="54" priority="74" operator="lessThan">
      <formula>0</formula>
    </cfRule>
  </conditionalFormatting>
  <conditionalFormatting sqref="D32:D33">
    <cfRule type="expression" dxfId="53" priority="79">
      <formula>$D$32&lt;0</formula>
    </cfRule>
    <cfRule type="expression" dxfId="52" priority="83">
      <formula>$D$32&gt;0</formula>
    </cfRule>
  </conditionalFormatting>
  <conditionalFormatting sqref="G8:G37 K8:O37">
    <cfRule type="expression" dxfId="51" priority="59">
      <formula>$G8&gt;0</formula>
    </cfRule>
  </conditionalFormatting>
  <conditionalFormatting sqref="H8:J37">
    <cfRule type="expression" dxfId="50" priority="53">
      <formula>$G8&gt;0</formula>
    </cfRule>
  </conditionalFormatting>
  <conditionalFormatting sqref="Z36:AN36">
    <cfRule type="cellIs" dxfId="49" priority="86" operator="greaterThanOrEqual">
      <formula>$S$35</formula>
    </cfRule>
    <cfRule type="cellIs" dxfId="48" priority="87" operator="lessThan">
      <formula>$S$35</formula>
    </cfRule>
  </conditionalFormatting>
  <conditionalFormatting sqref="Z42:AN42">
    <cfRule type="cellIs" dxfId="47" priority="88" operator="greaterThanOrEqual">
      <formula>$S$52</formula>
    </cfRule>
    <cfRule type="cellIs" dxfId="46" priority="89" operator="lessThan">
      <formula>$S$52</formula>
    </cfRule>
  </conditionalFormatting>
  <conditionalFormatting sqref="Z56:AN56">
    <cfRule type="cellIs" dxfId="45" priority="51" operator="lessThan">
      <formula>0</formula>
    </cfRule>
    <cfRule type="cellIs" dxfId="44" priority="52" operator="greaterThanOrEqual">
      <formula>0</formula>
    </cfRule>
  </conditionalFormatting>
  <conditionalFormatting sqref="Z61:AN61">
    <cfRule type="cellIs" dxfId="43" priority="1" operator="greaterThanOrEqual">
      <formula>$V$9</formula>
    </cfRule>
    <cfRule type="cellIs" dxfId="42" priority="2" operator="lessThan">
      <formula>$V$9</formula>
    </cfRule>
  </conditionalFormatting>
  <dataValidations disablePrompts="1" count="4">
    <dataValidation type="list" allowBlank="1" showInputMessage="1" showErrorMessage="1" sqref="J3 T25" xr:uid="{75B490BC-549F-4ED5-85CE-BE72E51BFAA6}">
      <formula1>$AW$3:$AW$5</formula1>
    </dataValidation>
    <dataValidation type="list" allowBlank="1" showInputMessage="1" showErrorMessage="1" sqref="F55 W31" xr:uid="{4EDAFF39-8A67-4677-ABF0-825084DFECF0}">
      <formula1>$AX$3:$AX$4</formula1>
    </dataValidation>
    <dataValidation type="list" allowBlank="1" showInputMessage="1" showErrorMessage="1" sqref="F81" xr:uid="{464F47E5-7DDB-4621-A1BD-EBE4F4C8C9D5}">
      <formula1>$AY$3:$AY$4</formula1>
    </dataValidation>
    <dataValidation type="list" allowBlank="1" showInputMessage="1" showErrorMessage="1" sqref="P42" xr:uid="{EF9203A1-FD22-4A4E-8049-F181827F61BB}">
      <formula1>AW3:AW5</formula1>
    </dataValidation>
  </dataValidations>
  <pageMargins left="0.7" right="0.7" top="0.75" bottom="0.75" header="0.3" footer="0.3"/>
  <pageSetup orientation="portrait" r:id="rId1"/>
  <ignoredErrors>
    <ignoredError sqref="AB17:AN17" formula="1"/>
    <ignoredError sqref="S29:S31" unlockedFormula="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6C960-8605-4886-9B7C-F4BDA56F0279}">
  <sheetPr>
    <tabColor theme="9" tint="0.79998168889431442"/>
  </sheetPr>
  <dimension ref="A1:BH144"/>
  <sheetViews>
    <sheetView topLeftCell="A2" zoomScale="85" zoomScaleNormal="85" workbookViewId="0">
      <selection activeCell="G28" sqref="G28:H28 J3"/>
    </sheetView>
  </sheetViews>
  <sheetFormatPr defaultColWidth="8.7109375" defaultRowHeight="13.9"/>
  <cols>
    <col min="1" max="1" width="8.7109375" style="51"/>
    <col min="2" max="2" width="46.28515625" style="51" customWidth="1"/>
    <col min="3" max="4" width="17.7109375" style="51" customWidth="1"/>
    <col min="5" max="5" width="22.28515625" style="51" customWidth="1"/>
    <col min="6" max="6" width="15" style="51" customWidth="1"/>
    <col min="7" max="7" width="21.42578125" style="51" customWidth="1"/>
    <col min="8" max="8" width="16.28515625" style="102" customWidth="1"/>
    <col min="9" max="9" width="15.28515625" style="102" customWidth="1"/>
    <col min="10" max="10" width="14" style="51" customWidth="1"/>
    <col min="11" max="11" width="17" style="51" customWidth="1"/>
    <col min="12" max="12" width="19.42578125" style="51" customWidth="1"/>
    <col min="13" max="13" width="20.7109375" style="51" customWidth="1"/>
    <col min="14" max="14" width="19.7109375" style="51" customWidth="1"/>
    <col min="15" max="15" width="22.5703125" style="51" customWidth="1"/>
    <col min="16" max="16" width="17.42578125" style="51" customWidth="1"/>
    <col min="17" max="17" width="17.28515625" style="51" bestFit="1" customWidth="1"/>
    <col min="18" max="18" width="31.7109375" style="51" customWidth="1"/>
    <col min="19" max="19" width="21.140625" style="51" customWidth="1"/>
    <col min="20" max="20" width="20.42578125" style="55" customWidth="1"/>
    <col min="21" max="21" width="22.85546875" style="51" customWidth="1"/>
    <col min="22" max="22" width="18.28515625" style="51" customWidth="1"/>
    <col min="23" max="23" width="30.7109375" style="51" customWidth="1"/>
    <col min="24" max="24" width="49.140625" style="51" customWidth="1"/>
    <col min="25" max="25" width="12.28515625" style="51" customWidth="1"/>
    <col min="26" max="26" width="25.28515625" style="51" customWidth="1"/>
    <col min="27" max="28" width="15.42578125" style="51" customWidth="1"/>
    <col min="29" max="29" width="12.7109375" style="51" customWidth="1"/>
    <col min="30" max="30" width="14.5703125" style="51" customWidth="1"/>
    <col min="31" max="31" width="14.28515625" style="51" customWidth="1"/>
    <col min="32" max="32" width="13.7109375" style="51" customWidth="1"/>
    <col min="33" max="33" width="14.7109375" style="51" customWidth="1"/>
    <col min="34" max="34" width="15.7109375" style="51" customWidth="1"/>
    <col min="35" max="36" width="14.28515625" style="51" customWidth="1"/>
    <col min="37" max="37" width="14.42578125" style="51" customWidth="1"/>
    <col min="38" max="39" width="15.28515625" style="51" customWidth="1"/>
    <col min="40" max="40" width="15.7109375" style="51" customWidth="1"/>
    <col min="41" max="44" width="16.5703125" style="51" customWidth="1"/>
    <col min="45" max="47" width="16.5703125" style="51" hidden="1" customWidth="1"/>
    <col min="48" max="49" width="16.5703125" style="51" customWidth="1"/>
    <col min="50" max="50" width="14.28515625" style="51" customWidth="1"/>
    <col min="51" max="51" width="12.85546875" style="51" customWidth="1"/>
    <col min="52" max="52" width="14.28515625" style="51" customWidth="1"/>
    <col min="53" max="53" width="14.7109375" style="51" customWidth="1"/>
    <col min="54" max="54" width="18" style="51" customWidth="1"/>
    <col min="55" max="55" width="15.5703125" style="51" customWidth="1"/>
    <col min="56" max="56" width="15.28515625" style="51" customWidth="1"/>
    <col min="57" max="57" width="8.7109375" style="51" customWidth="1"/>
    <col min="58" max="16384" width="8.7109375" style="51"/>
  </cols>
  <sheetData>
    <row r="1" spans="1:47" s="50" customFormat="1" ht="30.4" customHeight="1">
      <c r="A1" s="99" t="s">
        <v>437</v>
      </c>
      <c r="H1" s="100"/>
      <c r="I1" s="100"/>
      <c r="T1" s="57"/>
    </row>
    <row r="2" spans="1:47" ht="19.149999999999999" customHeight="1" thickBot="1">
      <c r="A2" s="101"/>
      <c r="S2" s="55"/>
      <c r="T2" s="51"/>
    </row>
    <row r="3" spans="1:47" ht="27.6">
      <c r="B3" s="507" t="s">
        <v>169</v>
      </c>
      <c r="C3" s="508"/>
      <c r="E3"/>
      <c r="G3" s="103" t="s">
        <v>170</v>
      </c>
      <c r="H3" s="71"/>
      <c r="I3" s="32" t="s">
        <v>171</v>
      </c>
      <c r="J3" s="599">
        <v>1</v>
      </c>
      <c r="K3" s="106"/>
      <c r="L3" s="106"/>
      <c r="M3" s="106"/>
      <c r="N3" s="106"/>
      <c r="O3" s="107"/>
      <c r="T3" s="447" t="s">
        <v>172</v>
      </c>
      <c r="U3" s="448"/>
      <c r="V3" s="449"/>
      <c r="X3" s="447" t="s">
        <v>438</v>
      </c>
      <c r="Y3" s="448"/>
      <c r="Z3" s="448"/>
      <c r="AA3" s="448"/>
      <c r="AB3" s="448"/>
      <c r="AC3" s="448"/>
      <c r="AD3" s="448"/>
      <c r="AE3" s="448"/>
      <c r="AF3" s="448"/>
      <c r="AG3" s="448"/>
      <c r="AH3" s="448"/>
      <c r="AI3" s="448"/>
      <c r="AJ3" s="448"/>
      <c r="AK3" s="448"/>
      <c r="AL3" s="448"/>
      <c r="AM3" s="448"/>
      <c r="AN3" s="448"/>
      <c r="AO3" s="450"/>
      <c r="AS3" s="51">
        <v>1</v>
      </c>
      <c r="AT3" s="51" t="s">
        <v>168</v>
      </c>
      <c r="AU3" s="51" t="s">
        <v>174</v>
      </c>
    </row>
    <row r="4" spans="1:47" ht="15" thickBot="1">
      <c r="B4" s="509" t="s">
        <v>175</v>
      </c>
      <c r="C4" s="510"/>
      <c r="E4"/>
      <c r="F4" s="108"/>
      <c r="G4" s="31"/>
      <c r="H4" s="81"/>
      <c r="I4" s="81"/>
      <c r="J4" s="81"/>
      <c r="N4" s="369"/>
      <c r="O4" s="370"/>
      <c r="P4" s="111"/>
      <c r="Q4" s="111"/>
      <c r="T4" s="52" t="s">
        <v>176</v>
      </c>
      <c r="V4" s="68"/>
      <c r="X4" s="112"/>
      <c r="Y4" s="81" t="s">
        <v>177</v>
      </c>
      <c r="Z4" s="113">
        <v>1</v>
      </c>
      <c r="AA4" s="113">
        <f>Z4+1</f>
        <v>2</v>
      </c>
      <c r="AB4" s="113">
        <f t="shared" ref="AB4:AN4" si="0">AA4+1</f>
        <v>3</v>
      </c>
      <c r="AC4" s="113">
        <f t="shared" si="0"/>
        <v>4</v>
      </c>
      <c r="AD4" s="113">
        <f t="shared" si="0"/>
        <v>5</v>
      </c>
      <c r="AE4" s="113">
        <f t="shared" si="0"/>
        <v>6</v>
      </c>
      <c r="AF4" s="113">
        <f t="shared" si="0"/>
        <v>7</v>
      </c>
      <c r="AG4" s="113">
        <f t="shared" si="0"/>
        <v>8</v>
      </c>
      <c r="AH4" s="113">
        <f t="shared" si="0"/>
        <v>9</v>
      </c>
      <c r="AI4" s="113">
        <f t="shared" si="0"/>
        <v>10</v>
      </c>
      <c r="AJ4" s="113">
        <f t="shared" si="0"/>
        <v>11</v>
      </c>
      <c r="AK4" s="113">
        <f t="shared" si="0"/>
        <v>12</v>
      </c>
      <c r="AL4" s="113">
        <f t="shared" si="0"/>
        <v>13</v>
      </c>
      <c r="AM4" s="113">
        <f>AL4+1</f>
        <v>14</v>
      </c>
      <c r="AN4" s="113">
        <f t="shared" si="0"/>
        <v>15</v>
      </c>
      <c r="AO4" s="114"/>
      <c r="AS4" s="51">
        <v>2</v>
      </c>
      <c r="AT4" s="51" t="s">
        <v>178</v>
      </c>
      <c r="AU4" s="51" t="s">
        <v>179</v>
      </c>
    </row>
    <row r="5" spans="1:47" ht="18" thickBot="1">
      <c r="B5" s="509" t="s">
        <v>180</v>
      </c>
      <c r="C5" s="511"/>
      <c r="E5"/>
      <c r="F5" s="117"/>
      <c r="G5" s="505" t="s">
        <v>181</v>
      </c>
      <c r="H5" s="17">
        <v>1</v>
      </c>
      <c r="I5" s="16">
        <v>2</v>
      </c>
      <c r="J5" s="18">
        <v>3</v>
      </c>
      <c r="K5" s="55"/>
      <c r="N5" s="118"/>
      <c r="O5" s="371"/>
      <c r="P5" s="357"/>
      <c r="Q5" s="794" t="s">
        <v>182</v>
      </c>
      <c r="R5" s="798"/>
      <c r="T5" s="67" t="s">
        <v>183</v>
      </c>
      <c r="V5" s="630">
        <v>0.03</v>
      </c>
      <c r="X5" s="122" t="s">
        <v>184</v>
      </c>
      <c r="Y5" s="113"/>
      <c r="Z5" s="113"/>
      <c r="AA5" s="113"/>
      <c r="AB5" s="113"/>
      <c r="AC5" s="113"/>
      <c r="AD5" s="113"/>
      <c r="AE5" s="113"/>
      <c r="AF5" s="113"/>
      <c r="AG5" s="113"/>
      <c r="AH5" s="113"/>
      <c r="AI5" s="113"/>
      <c r="AJ5" s="113"/>
      <c r="AK5" s="113"/>
      <c r="AL5" s="113"/>
      <c r="AM5" s="113"/>
      <c r="AN5" s="113"/>
      <c r="AO5" s="114"/>
      <c r="AS5" s="51">
        <v>3</v>
      </c>
    </row>
    <row r="6" spans="1:47" ht="27.6">
      <c r="B6" s="509" t="s">
        <v>439</v>
      </c>
      <c r="C6" s="512"/>
      <c r="F6" s="117"/>
      <c r="G6" s="503" t="s">
        <v>186</v>
      </c>
      <c r="H6" s="600" t="s">
        <v>187</v>
      </c>
      <c r="I6" s="601" t="s">
        <v>440</v>
      </c>
      <c r="J6" s="601" t="s">
        <v>189</v>
      </c>
      <c r="K6" s="55"/>
      <c r="N6" s="118"/>
      <c r="O6" s="371"/>
      <c r="P6" s="357"/>
      <c r="Q6" s="794"/>
      <c r="R6" s="795" t="s">
        <v>190</v>
      </c>
      <c r="T6" s="67" t="s">
        <v>191</v>
      </c>
      <c r="V6" s="630">
        <v>0.05</v>
      </c>
      <c r="X6" s="67" t="s">
        <v>441</v>
      </c>
      <c r="Y6" s="109"/>
      <c r="Z6" s="109">
        <f ca="1">O38*12</f>
        <v>303072</v>
      </c>
      <c r="AA6" s="109">
        <f t="shared" ref="AA6:AN6" ca="1" si="1">Z6*(1+$V$5)</f>
        <v>312164.16000000003</v>
      </c>
      <c r="AB6" s="109">
        <f t="shared" ca="1" si="1"/>
        <v>321529.08480000007</v>
      </c>
      <c r="AC6" s="109">
        <f t="shared" ca="1" si="1"/>
        <v>331174.95734400005</v>
      </c>
      <c r="AD6" s="109">
        <f t="shared" ca="1" si="1"/>
        <v>341110.20606432005</v>
      </c>
      <c r="AE6" s="109">
        <f t="shared" ca="1" si="1"/>
        <v>351343.51224624965</v>
      </c>
      <c r="AF6" s="109">
        <f t="shared" ca="1" si="1"/>
        <v>361883.81761363713</v>
      </c>
      <c r="AG6" s="109">
        <f t="shared" ca="1" si="1"/>
        <v>372740.33214204625</v>
      </c>
      <c r="AH6" s="109">
        <f t="shared" ca="1" si="1"/>
        <v>383922.54210630764</v>
      </c>
      <c r="AI6" s="109">
        <f t="shared" ca="1" si="1"/>
        <v>395440.21836949687</v>
      </c>
      <c r="AJ6" s="109">
        <f t="shared" ca="1" si="1"/>
        <v>407303.42492058181</v>
      </c>
      <c r="AK6" s="109">
        <f t="shared" ca="1" si="1"/>
        <v>419522.52766819927</v>
      </c>
      <c r="AL6" s="109">
        <f t="shared" ca="1" si="1"/>
        <v>432108.20349824528</v>
      </c>
      <c r="AM6" s="109">
        <f t="shared" ca="1" si="1"/>
        <v>445071.44960319262</v>
      </c>
      <c r="AN6" s="109">
        <f t="shared" ca="1" si="1"/>
        <v>458423.59309128841</v>
      </c>
      <c r="AO6" s="114"/>
    </row>
    <row r="7" spans="1:47" ht="27.6">
      <c r="B7" s="509" t="s">
        <v>193</v>
      </c>
      <c r="C7" s="513"/>
      <c r="F7" s="117"/>
      <c r="G7" s="376"/>
      <c r="H7" s="375" t="s">
        <v>194</v>
      </c>
      <c r="I7" s="372" t="s">
        <v>194</v>
      </c>
      <c r="J7" s="376" t="s">
        <v>194</v>
      </c>
      <c r="K7" s="377" t="s">
        <v>195</v>
      </c>
      <c r="L7" s="372" t="s">
        <v>196</v>
      </c>
      <c r="M7" s="372" t="s">
        <v>197</v>
      </c>
      <c r="N7" s="372" t="s">
        <v>198</v>
      </c>
      <c r="O7" s="375" t="s">
        <v>442</v>
      </c>
      <c r="P7" s="244"/>
      <c r="Q7" s="789">
        <v>0.5</v>
      </c>
      <c r="R7" s="790">
        <f t="shared" ref="R7:R12" ca="1" si="2">SUMIF($M$8:$M$37,"="&amp;M8,$G$8:$G$37)</f>
        <v>0</v>
      </c>
      <c r="T7" s="67" t="s">
        <v>200</v>
      </c>
      <c r="V7" s="630">
        <v>0.03</v>
      </c>
      <c r="X7" s="91" t="s">
        <v>201</v>
      </c>
      <c r="Y7" s="109"/>
      <c r="Z7" s="109">
        <f t="shared" ref="Z7:AN7" ca="1" si="3">-Z6*$V$6</f>
        <v>-15153.6</v>
      </c>
      <c r="AA7" s="109">
        <f t="shared" ca="1" si="3"/>
        <v>-15608.208000000002</v>
      </c>
      <c r="AB7" s="109">
        <f t="shared" ca="1" si="3"/>
        <v>-16076.454240000005</v>
      </c>
      <c r="AC7" s="109">
        <f t="shared" ca="1" si="3"/>
        <v>-16558.747867200003</v>
      </c>
      <c r="AD7" s="109">
        <f t="shared" ca="1" si="3"/>
        <v>-17055.510303216004</v>
      </c>
      <c r="AE7" s="109">
        <f t="shared" ca="1" si="3"/>
        <v>-17567.175612312483</v>
      </c>
      <c r="AF7" s="109">
        <f t="shared" ca="1" si="3"/>
        <v>-18094.190880681857</v>
      </c>
      <c r="AG7" s="109">
        <f t="shared" ca="1" si="3"/>
        <v>-18637.016607102312</v>
      </c>
      <c r="AH7" s="109">
        <f t="shared" ca="1" si="3"/>
        <v>-19196.127105315383</v>
      </c>
      <c r="AI7" s="109">
        <f t="shared" ca="1" si="3"/>
        <v>-19772.010918474843</v>
      </c>
      <c r="AJ7" s="109">
        <f t="shared" ca="1" si="3"/>
        <v>-20365.171246029091</v>
      </c>
      <c r="AK7" s="109">
        <f t="shared" ca="1" si="3"/>
        <v>-20976.126383409966</v>
      </c>
      <c r="AL7" s="109">
        <f t="shared" ca="1" si="3"/>
        <v>-21605.410174912264</v>
      </c>
      <c r="AM7" s="109">
        <f t="shared" ca="1" si="3"/>
        <v>-22253.572480159633</v>
      </c>
      <c r="AN7" s="109">
        <f t="shared" ca="1" si="3"/>
        <v>-22921.179654564421</v>
      </c>
      <c r="AO7" s="114"/>
    </row>
    <row r="8" spans="1:47">
      <c r="B8" s="509" t="s">
        <v>443</v>
      </c>
      <c r="C8" s="524" t="s">
        <v>444</v>
      </c>
      <c r="F8" s="117"/>
      <c r="G8" s="406">
        <f t="shared" ref="G8:G13" ca="1" si="4">IF(ISBLANK(OFFSET(G8,0,$J$3)),$H8,OFFSET(G8,0,$J$3))</f>
        <v>0</v>
      </c>
      <c r="H8" s="586">
        <v>0</v>
      </c>
      <c r="I8" s="587">
        <v>0</v>
      </c>
      <c r="J8" s="588">
        <v>0</v>
      </c>
      <c r="K8" s="379" t="s">
        <v>204</v>
      </c>
      <c r="L8" s="235">
        <v>0</v>
      </c>
      <c r="M8" s="380">
        <v>0.5</v>
      </c>
      <c r="N8" s="609">
        <v>190000</v>
      </c>
      <c r="O8" s="367" t="str">
        <f t="shared" ref="O8:O37" ca="1" si="5">IF(G8&gt;0,_xlfn.XLOOKUP(K8,$AA$98:$BD$98,$AA$104:$BD$104),"")</f>
        <v/>
      </c>
      <c r="P8" s="244"/>
      <c r="Q8" s="789">
        <v>0.6</v>
      </c>
      <c r="R8" s="790">
        <f t="shared" ca="1" si="2"/>
        <v>0</v>
      </c>
      <c r="T8" s="67" t="s">
        <v>205</v>
      </c>
      <c r="V8" s="630">
        <v>0.03</v>
      </c>
      <c r="X8" s="128" t="s">
        <v>445</v>
      </c>
      <c r="Y8" s="129"/>
      <c r="Z8" s="129">
        <f t="shared" ref="Z8:AN8" ca="1" si="6">-Z6*$V$7</f>
        <v>-9092.16</v>
      </c>
      <c r="AA8" s="129">
        <f t="shared" ca="1" si="6"/>
        <v>-9364.9248000000007</v>
      </c>
      <c r="AB8" s="129">
        <f t="shared" ca="1" si="6"/>
        <v>-9645.8725440000017</v>
      </c>
      <c r="AC8" s="129">
        <f t="shared" ca="1" si="6"/>
        <v>-9935.2487203200017</v>
      </c>
      <c r="AD8" s="129">
        <f t="shared" ca="1" si="6"/>
        <v>-10233.306181929602</v>
      </c>
      <c r="AE8" s="129">
        <f t="shared" ca="1" si="6"/>
        <v>-10540.305367387489</v>
      </c>
      <c r="AF8" s="129">
        <f t="shared" ca="1" si="6"/>
        <v>-10856.514528409114</v>
      </c>
      <c r="AG8" s="129">
        <f t="shared" ca="1" si="6"/>
        <v>-11182.209964261387</v>
      </c>
      <c r="AH8" s="129">
        <f t="shared" ca="1" si="6"/>
        <v>-11517.676263189229</v>
      </c>
      <c r="AI8" s="129">
        <f t="shared" ca="1" si="6"/>
        <v>-11863.206551084906</v>
      </c>
      <c r="AJ8" s="129">
        <f t="shared" ca="1" si="6"/>
        <v>-12219.102747617453</v>
      </c>
      <c r="AK8" s="129">
        <f t="shared" ca="1" si="6"/>
        <v>-12585.675830045977</v>
      </c>
      <c r="AL8" s="129">
        <f t="shared" ca="1" si="6"/>
        <v>-12963.246104947359</v>
      </c>
      <c r="AM8" s="129">
        <f t="shared" ca="1" si="6"/>
        <v>-13352.143488095779</v>
      </c>
      <c r="AN8" s="129">
        <f t="shared" ca="1" si="6"/>
        <v>-13752.707792738651</v>
      </c>
      <c r="AO8" s="114"/>
    </row>
    <row r="9" spans="1:47" ht="16.899999999999999" customHeight="1">
      <c r="B9" s="509" t="s">
        <v>202</v>
      </c>
      <c r="C9" s="514" t="s">
        <v>203</v>
      </c>
      <c r="F9" s="117"/>
      <c r="G9" s="373">
        <f t="shared" ca="1" si="4"/>
        <v>0</v>
      </c>
      <c r="H9" s="589"/>
      <c r="I9" s="590">
        <v>0</v>
      </c>
      <c r="J9" s="591">
        <v>0</v>
      </c>
      <c r="K9" s="125" t="s">
        <v>209</v>
      </c>
      <c r="L9" s="55">
        <v>0</v>
      </c>
      <c r="M9" s="126">
        <v>0.6</v>
      </c>
      <c r="N9" s="132">
        <f>N8</f>
        <v>190000</v>
      </c>
      <c r="O9" s="367" t="str">
        <f t="shared" ca="1" si="5"/>
        <v/>
      </c>
      <c r="P9" s="244"/>
      <c r="Q9" s="791">
        <v>0.8</v>
      </c>
      <c r="R9" s="790">
        <f t="shared" ca="1" si="2"/>
        <v>12</v>
      </c>
      <c r="T9" s="67" t="s">
        <v>210</v>
      </c>
      <c r="V9" s="647">
        <v>6</v>
      </c>
      <c r="X9" s="133" t="s">
        <v>211</v>
      </c>
      <c r="Y9" s="134"/>
      <c r="Z9" s="134">
        <f t="shared" ref="Z9:AN9" ca="1" si="7">SUM(Z6:Z8)</f>
        <v>278826.24000000005</v>
      </c>
      <c r="AA9" s="134">
        <f t="shared" ca="1" si="7"/>
        <v>287191.02720000007</v>
      </c>
      <c r="AB9" s="134">
        <f t="shared" ca="1" si="7"/>
        <v>295806.75801600009</v>
      </c>
      <c r="AC9" s="134">
        <f t="shared" ca="1" si="7"/>
        <v>304680.96075648005</v>
      </c>
      <c r="AD9" s="134">
        <f t="shared" ca="1" si="7"/>
        <v>313821.38957917446</v>
      </c>
      <c r="AE9" s="134">
        <f t="shared" ca="1" si="7"/>
        <v>323236.03126654966</v>
      </c>
      <c r="AF9" s="134">
        <f t="shared" ca="1" si="7"/>
        <v>332933.11220454617</v>
      </c>
      <c r="AG9" s="134">
        <f t="shared" ca="1" si="7"/>
        <v>342921.10557068256</v>
      </c>
      <c r="AH9" s="134">
        <f t="shared" ca="1" si="7"/>
        <v>353208.73873780301</v>
      </c>
      <c r="AI9" s="134">
        <f t="shared" ca="1" si="7"/>
        <v>363805.00089993712</v>
      </c>
      <c r="AJ9" s="134">
        <f t="shared" ca="1" si="7"/>
        <v>374719.15092693525</v>
      </c>
      <c r="AK9" s="134">
        <f t="shared" ca="1" si="7"/>
        <v>385960.72545474337</v>
      </c>
      <c r="AL9" s="134">
        <f t="shared" ca="1" si="7"/>
        <v>397539.54721838568</v>
      </c>
      <c r="AM9" s="134">
        <f t="shared" ca="1" si="7"/>
        <v>409465.73363493721</v>
      </c>
      <c r="AN9" s="134">
        <f t="shared" ca="1" si="7"/>
        <v>421749.70564398536</v>
      </c>
      <c r="AO9" s="114"/>
    </row>
    <row r="10" spans="1:47" ht="19.899999999999999" customHeight="1" thickBot="1">
      <c r="B10" s="515" t="s">
        <v>207</v>
      </c>
      <c r="C10" s="516" t="s">
        <v>208</v>
      </c>
      <c r="F10" s="117"/>
      <c r="G10" s="373">
        <f t="shared" ca="1" si="4"/>
        <v>0</v>
      </c>
      <c r="H10" s="589">
        <v>0</v>
      </c>
      <c r="I10" s="590">
        <v>0</v>
      </c>
      <c r="J10" s="592">
        <v>0</v>
      </c>
      <c r="K10" s="125" t="s">
        <v>212</v>
      </c>
      <c r="L10" s="55">
        <v>0</v>
      </c>
      <c r="M10" s="126">
        <v>0.8</v>
      </c>
      <c r="N10" s="132">
        <f>N8</f>
        <v>190000</v>
      </c>
      <c r="O10" s="367" t="str">
        <f t="shared" ca="1" si="5"/>
        <v/>
      </c>
      <c r="P10" s="244"/>
      <c r="Q10" s="791">
        <v>1</v>
      </c>
      <c r="R10" s="790">
        <f t="shared" ca="1" si="2"/>
        <v>0</v>
      </c>
      <c r="T10" s="67"/>
      <c r="V10" s="69"/>
      <c r="X10" s="67"/>
      <c r="AO10" s="114"/>
    </row>
    <row r="11" spans="1:47">
      <c r="C11" s="55"/>
      <c r="F11" s="117"/>
      <c r="G11" s="373">
        <f t="shared" ca="1" si="4"/>
        <v>0</v>
      </c>
      <c r="H11" s="589">
        <v>0</v>
      </c>
      <c r="I11" s="590">
        <v>0</v>
      </c>
      <c r="J11" s="592">
        <v>0</v>
      </c>
      <c r="K11" s="125" t="s">
        <v>213</v>
      </c>
      <c r="L11" s="55">
        <v>0</v>
      </c>
      <c r="M11" s="126">
        <v>1</v>
      </c>
      <c r="N11" s="132">
        <f>N9</f>
        <v>190000</v>
      </c>
      <c r="O11" s="367" t="str">
        <f t="shared" ca="1" si="5"/>
        <v/>
      </c>
      <c r="P11" s="244"/>
      <c r="Q11" s="792">
        <v>1.2</v>
      </c>
      <c r="R11" s="790">
        <f t="shared" ca="1" si="2"/>
        <v>0</v>
      </c>
      <c r="T11" s="70" t="s">
        <v>214</v>
      </c>
      <c r="V11" s="69"/>
      <c r="X11" s="122" t="s">
        <v>215</v>
      </c>
      <c r="AO11" s="114"/>
    </row>
    <row r="12" spans="1:47">
      <c r="C12" s="55"/>
      <c r="F12" s="117"/>
      <c r="G12" s="373">
        <f t="shared" ca="1" si="4"/>
        <v>0</v>
      </c>
      <c r="H12" s="589">
        <v>0</v>
      </c>
      <c r="I12" s="590">
        <v>0</v>
      </c>
      <c r="J12" s="592">
        <v>0</v>
      </c>
      <c r="K12" s="125" t="s">
        <v>217</v>
      </c>
      <c r="L12" s="55">
        <v>0</v>
      </c>
      <c r="M12" s="126">
        <v>1.2</v>
      </c>
      <c r="N12" s="132">
        <f>N10</f>
        <v>190000</v>
      </c>
      <c r="O12" s="367" t="str">
        <f t="shared" ca="1" si="5"/>
        <v/>
      </c>
      <c r="P12" s="244"/>
      <c r="Q12" s="797" t="s">
        <v>218</v>
      </c>
      <c r="R12" s="790">
        <f t="shared" ca="1" si="2"/>
        <v>0</v>
      </c>
      <c r="T12" s="67" t="s">
        <v>219</v>
      </c>
      <c r="V12" s="648">
        <v>1731</v>
      </c>
      <c r="X12" s="67" t="s">
        <v>220</v>
      </c>
      <c r="Y12" s="109"/>
      <c r="Z12" s="109">
        <f ca="1">V12*$G$38</f>
        <v>20772</v>
      </c>
      <c r="AA12" s="109">
        <f t="shared" ref="AA12:AN12" ca="1" si="8">Z12*(1+$V$8)</f>
        <v>21395.16</v>
      </c>
      <c r="AB12" s="109">
        <f t="shared" ca="1" si="8"/>
        <v>22037.014800000001</v>
      </c>
      <c r="AC12" s="109">
        <f t="shared" ca="1" si="8"/>
        <v>22698.125244000003</v>
      </c>
      <c r="AD12" s="109">
        <f t="shared" ca="1" si="8"/>
        <v>23379.069001320004</v>
      </c>
      <c r="AE12" s="109">
        <f t="shared" ca="1" si="8"/>
        <v>24080.441071359604</v>
      </c>
      <c r="AF12" s="109">
        <f t="shared" ca="1" si="8"/>
        <v>24802.854303500393</v>
      </c>
      <c r="AG12" s="109">
        <f t="shared" ca="1" si="8"/>
        <v>25546.939932605404</v>
      </c>
      <c r="AH12" s="109">
        <f t="shared" ca="1" si="8"/>
        <v>26313.348130583567</v>
      </c>
      <c r="AI12" s="109">
        <f t="shared" ca="1" si="8"/>
        <v>27102.748574501074</v>
      </c>
      <c r="AJ12" s="109">
        <f t="shared" ca="1" si="8"/>
        <v>27915.831031736107</v>
      </c>
      <c r="AK12" s="109">
        <f t="shared" ca="1" si="8"/>
        <v>28753.305962688191</v>
      </c>
      <c r="AL12" s="109">
        <f t="shared" ca="1" si="8"/>
        <v>29615.905141568837</v>
      </c>
      <c r="AM12" s="109">
        <f t="shared" ca="1" si="8"/>
        <v>30504.382295815903</v>
      </c>
      <c r="AN12" s="109">
        <f t="shared" ca="1" si="8"/>
        <v>31419.513764690382</v>
      </c>
      <c r="AO12" s="114"/>
    </row>
    <row r="13" spans="1:47" ht="20.45">
      <c r="B13" s="103" t="s">
        <v>216</v>
      </c>
      <c r="C13" s="104"/>
      <c r="D13" s="104"/>
      <c r="E13" s="105"/>
      <c r="F13" s="117"/>
      <c r="G13" s="420">
        <f t="shared" ca="1" si="4"/>
        <v>0</v>
      </c>
      <c r="H13" s="593">
        <v>0</v>
      </c>
      <c r="I13" s="597">
        <v>0</v>
      </c>
      <c r="J13" s="598">
        <v>0</v>
      </c>
      <c r="K13" s="407" t="s">
        <v>225</v>
      </c>
      <c r="L13" s="327">
        <v>0</v>
      </c>
      <c r="M13" s="327" t="s">
        <v>218</v>
      </c>
      <c r="N13" s="408">
        <f>N9</f>
        <v>190000</v>
      </c>
      <c r="O13" s="409" t="str">
        <f t="shared" ca="1" si="5"/>
        <v/>
      </c>
      <c r="P13" s="244"/>
      <c r="Q13" s="796" t="s">
        <v>226</v>
      </c>
      <c r="R13" s="817">
        <f ca="1">IF(G38&gt;0,SUMPRODUCT(Q7:Q11,R7:R11)/SUM(R7:R11),0)</f>
        <v>0.80000000000000016</v>
      </c>
      <c r="T13" s="67" t="s">
        <v>227</v>
      </c>
      <c r="V13" s="648">
        <v>1027</v>
      </c>
      <c r="X13" s="67" t="s">
        <v>228</v>
      </c>
      <c r="Y13" s="109"/>
      <c r="Z13" s="109">
        <f ca="1">V13*$G$38</f>
        <v>12324</v>
      </c>
      <c r="AA13" s="109">
        <f t="shared" ref="AA13:AN14" ca="1" si="9">Z13*(1+$V$8)</f>
        <v>12693.720000000001</v>
      </c>
      <c r="AB13" s="109">
        <f t="shared" ca="1" si="9"/>
        <v>13074.531600000002</v>
      </c>
      <c r="AC13" s="109">
        <f t="shared" ca="1" si="9"/>
        <v>13466.767548000002</v>
      </c>
      <c r="AD13" s="109">
        <f t="shared" ca="1" si="9"/>
        <v>13870.770574440003</v>
      </c>
      <c r="AE13" s="109">
        <f t="shared" ca="1" si="9"/>
        <v>14286.893691673204</v>
      </c>
      <c r="AF13" s="109">
        <f t="shared" ca="1" si="9"/>
        <v>14715.5005024234</v>
      </c>
      <c r="AG13" s="109">
        <f t="shared" ca="1" si="9"/>
        <v>15156.965517496103</v>
      </c>
      <c r="AH13" s="109">
        <f t="shared" ca="1" si="9"/>
        <v>15611.674483020986</v>
      </c>
      <c r="AI13" s="109">
        <f t="shared" ca="1" si="9"/>
        <v>16080.024717511616</v>
      </c>
      <c r="AJ13" s="109">
        <f t="shared" ca="1" si="9"/>
        <v>16562.425459036964</v>
      </c>
      <c r="AK13" s="109">
        <f t="shared" ca="1" si="9"/>
        <v>17059.298222808073</v>
      </c>
      <c r="AL13" s="109">
        <f t="shared" ca="1" si="9"/>
        <v>17571.077169492317</v>
      </c>
      <c r="AM13" s="109">
        <f t="shared" ca="1" si="9"/>
        <v>18098.209484577088</v>
      </c>
      <c r="AN13" s="109">
        <f t="shared" ca="1" si="9"/>
        <v>18641.155769114401</v>
      </c>
      <c r="AO13" s="114"/>
    </row>
    <row r="14" spans="1:47" ht="42" thickBot="1">
      <c r="B14" s="462" t="s">
        <v>221</v>
      </c>
      <c r="C14" s="463" t="s">
        <v>222</v>
      </c>
      <c r="D14" s="463" t="s">
        <v>223</v>
      </c>
      <c r="E14" s="464" t="s">
        <v>224</v>
      </c>
      <c r="F14" s="117"/>
      <c r="G14" s="802">
        <f ca="1">IF(ISBLANK(OFFSET(G14,0,$J$3)),$H14,OFFSET(G14,0,$J$3))</f>
        <v>0</v>
      </c>
      <c r="H14" s="799">
        <v>0</v>
      </c>
      <c r="I14" s="587">
        <v>0</v>
      </c>
      <c r="J14" s="588">
        <v>0</v>
      </c>
      <c r="K14" s="379" t="s">
        <v>230</v>
      </c>
      <c r="L14" s="235">
        <v>1</v>
      </c>
      <c r="M14" s="380">
        <v>0.5</v>
      </c>
      <c r="N14" s="609">
        <v>275000</v>
      </c>
      <c r="O14" s="367" t="str">
        <f t="shared" ca="1" si="5"/>
        <v/>
      </c>
      <c r="P14" s="127"/>
      <c r="Q14" s="793" t="s">
        <v>231</v>
      </c>
      <c r="R14" s="818">
        <f ca="1">IF(G38&gt;0,SUMIF(M8:M37,"&lt;="&amp;0.8,G8:G37)/G38,)</f>
        <v>1</v>
      </c>
      <c r="T14" s="67" t="s">
        <v>446</v>
      </c>
      <c r="V14" s="649">
        <v>1.15E-2</v>
      </c>
      <c r="X14" s="67" t="s">
        <v>233</v>
      </c>
      <c r="Y14" s="109"/>
      <c r="Z14" s="109">
        <f>$I$50*$V$14</f>
        <v>85192</v>
      </c>
      <c r="AA14" s="109">
        <f>Z14*(1+$V$8)</f>
        <v>87747.760000000009</v>
      </c>
      <c r="AB14" s="109">
        <f ca="1">IF(R14&lt;=0.9,$V$15*$I$50+V14*(1-R14)*I50,$V$15*$I$50)</f>
        <v>11112</v>
      </c>
      <c r="AC14" s="109">
        <f ca="1">AB14*(1+$V$8)</f>
        <v>11445.36</v>
      </c>
      <c r="AD14" s="109">
        <f t="shared" ca="1" si="9"/>
        <v>11788.720800000001</v>
      </c>
      <c r="AE14" s="109">
        <f t="shared" ca="1" si="9"/>
        <v>12142.382424000001</v>
      </c>
      <c r="AF14" s="109">
        <f t="shared" ca="1" si="9"/>
        <v>12506.653896720001</v>
      </c>
      <c r="AG14" s="109">
        <f t="shared" ca="1" si="9"/>
        <v>12881.853513621601</v>
      </c>
      <c r="AH14" s="109">
        <f t="shared" ca="1" si="9"/>
        <v>13268.309119030249</v>
      </c>
      <c r="AI14" s="109">
        <f t="shared" ca="1" si="9"/>
        <v>13666.358392601158</v>
      </c>
      <c r="AJ14" s="109">
        <f t="shared" ca="1" si="9"/>
        <v>14076.349144379194</v>
      </c>
      <c r="AK14" s="109">
        <f t="shared" ca="1" si="9"/>
        <v>14498.639618710569</v>
      </c>
      <c r="AL14" s="109">
        <f t="shared" ca="1" si="9"/>
        <v>14933.598807271886</v>
      </c>
      <c r="AM14" s="109">
        <f t="shared" ca="1" si="9"/>
        <v>15381.606771490044</v>
      </c>
      <c r="AN14" s="109">
        <f t="shared" ca="1" si="9"/>
        <v>15843.054974634746</v>
      </c>
      <c r="AO14" s="114"/>
    </row>
    <row r="15" spans="1:47">
      <c r="B15" s="91" t="s">
        <v>229</v>
      </c>
      <c r="C15" s="115">
        <f>I52</f>
        <v>7408000</v>
      </c>
      <c r="D15" s="115">
        <f ca="1">IF($G$38&gt;0,C15/$G$38,0)</f>
        <v>617333.33333333337</v>
      </c>
      <c r="E15" s="116">
        <f ca="1">C15/$C$19</f>
        <v>0.75729608363896983</v>
      </c>
      <c r="F15" s="117"/>
      <c r="G15" s="801">
        <f t="shared" ref="G15:G37" ca="1" si="10">IF(ISBLANK(OFFSET(G15,0,$J$3)),$H15,OFFSET(G15,0,$J$3))</f>
        <v>0</v>
      </c>
      <c r="H15" s="800">
        <v>0</v>
      </c>
      <c r="I15" s="590">
        <v>0</v>
      </c>
      <c r="J15" s="591">
        <v>0</v>
      </c>
      <c r="K15" s="125" t="s">
        <v>235</v>
      </c>
      <c r="L15" s="55">
        <v>1</v>
      </c>
      <c r="M15" s="126">
        <v>0.6</v>
      </c>
      <c r="N15" s="132">
        <f>N14</f>
        <v>275000</v>
      </c>
      <c r="O15" s="367" t="str">
        <f t="shared" ca="1" si="5"/>
        <v/>
      </c>
      <c r="P15" s="127"/>
      <c r="Q15" s="127"/>
      <c r="T15" s="67" t="s">
        <v>236</v>
      </c>
      <c r="V15" s="649">
        <v>1.5E-3</v>
      </c>
      <c r="X15" s="67" t="s">
        <v>447</v>
      </c>
      <c r="Y15" s="109"/>
      <c r="Z15" s="109">
        <f ca="1">V16*$G$38</f>
        <v>3600</v>
      </c>
      <c r="AA15" s="109">
        <f t="shared" ref="AA15:AN15" ca="1" si="11">Z15*(1+$V$8)</f>
        <v>3708</v>
      </c>
      <c r="AB15" s="109">
        <f t="shared" ca="1" si="11"/>
        <v>3819.2400000000002</v>
      </c>
      <c r="AC15" s="109">
        <f t="shared" ca="1" si="11"/>
        <v>3933.8172000000004</v>
      </c>
      <c r="AD15" s="109">
        <f t="shared" ca="1" si="11"/>
        <v>4051.8317160000006</v>
      </c>
      <c r="AE15" s="109">
        <f t="shared" ca="1" si="11"/>
        <v>4173.3866674800011</v>
      </c>
      <c r="AF15" s="109">
        <f t="shared" ca="1" si="11"/>
        <v>4298.5882675044013</v>
      </c>
      <c r="AG15" s="109">
        <f t="shared" ca="1" si="11"/>
        <v>4427.5459155295339</v>
      </c>
      <c r="AH15" s="109">
        <f t="shared" ca="1" si="11"/>
        <v>4560.3722929954201</v>
      </c>
      <c r="AI15" s="109">
        <f t="shared" ca="1" si="11"/>
        <v>4697.1834617852828</v>
      </c>
      <c r="AJ15" s="109">
        <f t="shared" ca="1" si="11"/>
        <v>4838.098965638841</v>
      </c>
      <c r="AK15" s="109">
        <f t="shared" ca="1" si="11"/>
        <v>4983.241934608006</v>
      </c>
      <c r="AL15" s="109">
        <f t="shared" ca="1" si="11"/>
        <v>5132.739192646246</v>
      </c>
      <c r="AM15" s="109">
        <f t="shared" ca="1" si="11"/>
        <v>5286.721368425634</v>
      </c>
      <c r="AN15" s="109">
        <f t="shared" ca="1" si="11"/>
        <v>5445.323009478403</v>
      </c>
      <c r="AO15" s="114"/>
    </row>
    <row r="16" spans="1:47">
      <c r="B16" s="91" t="s">
        <v>448</v>
      </c>
      <c r="C16" s="115">
        <f ca="1">I60</f>
        <v>965893.5</v>
      </c>
      <c r="D16" s="115">
        <f t="shared" ref="D16:D18" ca="1" si="12">IF($G$38&gt;0,C16/$G$38,0)</f>
        <v>80491.125</v>
      </c>
      <c r="E16" s="116">
        <f ca="1">C16/$C$19</f>
        <v>9.8740195027313349E-2</v>
      </c>
      <c r="F16" s="108"/>
      <c r="G16" s="801">
        <f t="shared" ca="1" si="10"/>
        <v>4</v>
      </c>
      <c r="H16" s="800">
        <v>4</v>
      </c>
      <c r="I16" s="590">
        <v>0</v>
      </c>
      <c r="J16" s="592">
        <v>0</v>
      </c>
      <c r="K16" s="125" t="s">
        <v>239</v>
      </c>
      <c r="L16" s="55">
        <v>1</v>
      </c>
      <c r="M16" s="126">
        <v>0.8</v>
      </c>
      <c r="N16" s="132">
        <f>N14</f>
        <v>275000</v>
      </c>
      <c r="O16" s="367">
        <f t="shared" ca="1" si="5"/>
        <v>1872</v>
      </c>
      <c r="P16" s="127"/>
      <c r="Q16" s="127"/>
      <c r="T16" s="67" t="s">
        <v>240</v>
      </c>
      <c r="V16" s="648">
        <v>300</v>
      </c>
      <c r="X16" s="67" t="s">
        <v>241</v>
      </c>
      <c r="Y16" s="109"/>
      <c r="Z16" s="109">
        <f ca="1">V17*$G$38</f>
        <v>18000</v>
      </c>
      <c r="AA16" s="109">
        <f t="shared" ref="AA16:AN16" ca="1" si="13">Z16*(1+$V$8)</f>
        <v>18540</v>
      </c>
      <c r="AB16" s="109">
        <f t="shared" ca="1" si="13"/>
        <v>19096.2</v>
      </c>
      <c r="AC16" s="109">
        <f t="shared" ca="1" si="13"/>
        <v>19669.086000000003</v>
      </c>
      <c r="AD16" s="109">
        <f t="shared" ca="1" si="13"/>
        <v>20259.158580000003</v>
      </c>
      <c r="AE16" s="109">
        <f t="shared" ca="1" si="13"/>
        <v>20866.933337400005</v>
      </c>
      <c r="AF16" s="109">
        <f t="shared" ca="1" si="13"/>
        <v>21492.941337522007</v>
      </c>
      <c r="AG16" s="109">
        <f t="shared" ca="1" si="13"/>
        <v>22137.729577647668</v>
      </c>
      <c r="AH16" s="109">
        <f t="shared" ca="1" si="13"/>
        <v>22801.861464977097</v>
      </c>
      <c r="AI16" s="109">
        <f t="shared" ca="1" si="13"/>
        <v>23485.917308926411</v>
      </c>
      <c r="AJ16" s="109">
        <f t="shared" ca="1" si="13"/>
        <v>24190.494828194205</v>
      </c>
      <c r="AK16" s="109">
        <f t="shared" ca="1" si="13"/>
        <v>24916.209673040034</v>
      </c>
      <c r="AL16" s="109">
        <f t="shared" ca="1" si="13"/>
        <v>25663.695963231236</v>
      </c>
      <c r="AM16" s="109">
        <f t="shared" ca="1" si="13"/>
        <v>26433.606842128174</v>
      </c>
      <c r="AN16" s="109">
        <f t="shared" ca="1" si="13"/>
        <v>27226.615047392021</v>
      </c>
      <c r="AO16" s="114"/>
    </row>
    <row r="17" spans="1:54">
      <c r="B17" s="91" t="s">
        <v>238</v>
      </c>
      <c r="C17" s="115">
        <f ca="1">I87</f>
        <v>1328277.7802249999</v>
      </c>
      <c r="D17" s="115">
        <f t="shared" ca="1" si="12"/>
        <v>110689.81501874999</v>
      </c>
      <c r="E17" s="116">
        <f ca="1">C17/$C$19</f>
        <v>0.13578557788189211</v>
      </c>
      <c r="F17" s="117"/>
      <c r="G17" s="801">
        <f t="shared" ca="1" si="10"/>
        <v>0</v>
      </c>
      <c r="H17" s="800">
        <v>0</v>
      </c>
      <c r="I17" s="590">
        <v>0</v>
      </c>
      <c r="J17" s="592">
        <v>0</v>
      </c>
      <c r="K17" s="125" t="s">
        <v>243</v>
      </c>
      <c r="L17" s="55">
        <v>1</v>
      </c>
      <c r="M17" s="126">
        <v>1</v>
      </c>
      <c r="N17" s="132">
        <f>N15</f>
        <v>275000</v>
      </c>
      <c r="O17" s="367" t="str">
        <f t="shared" ca="1" si="5"/>
        <v/>
      </c>
      <c r="P17" s="127"/>
      <c r="Q17" s="127"/>
      <c r="T17" s="67" t="s">
        <v>244</v>
      </c>
      <c r="V17" s="648">
        <v>1500</v>
      </c>
      <c r="X17" s="67" t="s">
        <v>245</v>
      </c>
      <c r="Y17" s="109"/>
      <c r="Z17" s="109">
        <f t="shared" ref="Z17:AN17" ca="1" si="14">$V$19*Z9</f>
        <v>22306.099200000004</v>
      </c>
      <c r="AA17" s="109">
        <f t="shared" ca="1" si="14"/>
        <v>22975.282176000004</v>
      </c>
      <c r="AB17" s="109">
        <f t="shared" ca="1" si="14"/>
        <v>23664.540641280008</v>
      </c>
      <c r="AC17" s="109">
        <f t="shared" ca="1" si="14"/>
        <v>24374.476860518404</v>
      </c>
      <c r="AD17" s="109">
        <f t="shared" ca="1" si="14"/>
        <v>25105.711166333956</v>
      </c>
      <c r="AE17" s="109">
        <f t="shared" ca="1" si="14"/>
        <v>25858.882501323973</v>
      </c>
      <c r="AF17" s="109">
        <f t="shared" ca="1" si="14"/>
        <v>26634.648976363693</v>
      </c>
      <c r="AG17" s="109">
        <f t="shared" ca="1" si="14"/>
        <v>27433.688445654607</v>
      </c>
      <c r="AH17" s="109">
        <f t="shared" ca="1" si="14"/>
        <v>28256.699099024241</v>
      </c>
      <c r="AI17" s="109">
        <f t="shared" ca="1" si="14"/>
        <v>29104.400071994969</v>
      </c>
      <c r="AJ17" s="109">
        <f t="shared" ca="1" si="14"/>
        <v>29977.53207415482</v>
      </c>
      <c r="AK17" s="109">
        <f t="shared" ca="1" si="14"/>
        <v>30876.858036379472</v>
      </c>
      <c r="AL17" s="109">
        <f t="shared" ca="1" si="14"/>
        <v>31803.163777470854</v>
      </c>
      <c r="AM17" s="109">
        <f t="shared" ca="1" si="14"/>
        <v>32757.258690794977</v>
      </c>
      <c r="AN17" s="109">
        <f t="shared" ca="1" si="14"/>
        <v>33739.976451518829</v>
      </c>
      <c r="AO17" s="114"/>
    </row>
    <row r="18" spans="1:54" ht="14.45" thickBot="1">
      <c r="B18" s="92" t="s">
        <v>449</v>
      </c>
      <c r="C18" s="123">
        <f>I91</f>
        <v>80000</v>
      </c>
      <c r="D18" s="123">
        <f t="shared" ca="1" si="12"/>
        <v>6666.666666666667</v>
      </c>
      <c r="E18" s="124">
        <f ca="1">C18/$C$19</f>
        <v>8.1781434518247292E-3</v>
      </c>
      <c r="F18" s="117"/>
      <c r="G18" s="373">
        <f t="shared" ca="1" si="10"/>
        <v>0</v>
      </c>
      <c r="H18" s="589">
        <v>0</v>
      </c>
      <c r="I18" s="590">
        <v>0</v>
      </c>
      <c r="J18" s="592">
        <v>0</v>
      </c>
      <c r="K18" s="125" t="s">
        <v>246</v>
      </c>
      <c r="L18" s="55">
        <v>1</v>
      </c>
      <c r="M18" s="126">
        <v>1.2</v>
      </c>
      <c r="N18" s="132">
        <f>N16</f>
        <v>275000</v>
      </c>
      <c r="O18" s="367" t="str">
        <f t="shared" ca="1" si="5"/>
        <v/>
      </c>
      <c r="P18" s="127"/>
      <c r="Q18" s="127"/>
      <c r="T18" s="521" t="s">
        <v>450</v>
      </c>
      <c r="V18" s="648">
        <v>15000</v>
      </c>
      <c r="X18" s="521" t="s">
        <v>451</v>
      </c>
      <c r="Y18" s="109"/>
      <c r="Z18" s="109">
        <f>$V$18</f>
        <v>15000</v>
      </c>
      <c r="AA18" s="109">
        <f t="shared" ref="AA18:AN18" si="15">Z18*(1+$V$8)</f>
        <v>15450</v>
      </c>
      <c r="AB18" s="109">
        <f t="shared" si="15"/>
        <v>15913.5</v>
      </c>
      <c r="AC18" s="109">
        <f t="shared" si="15"/>
        <v>16390.904999999999</v>
      </c>
      <c r="AD18" s="109">
        <f t="shared" si="15"/>
        <v>16882.632149999998</v>
      </c>
      <c r="AE18" s="109">
        <f t="shared" si="15"/>
        <v>17389.1111145</v>
      </c>
      <c r="AF18" s="109">
        <f t="shared" si="15"/>
        <v>17910.784447934999</v>
      </c>
      <c r="AG18" s="109">
        <f t="shared" si="15"/>
        <v>18448.10798137305</v>
      </c>
      <c r="AH18" s="109">
        <f t="shared" si="15"/>
        <v>19001.551220814243</v>
      </c>
      <c r="AI18" s="109">
        <f t="shared" si="15"/>
        <v>19571.597757438671</v>
      </c>
      <c r="AJ18" s="109">
        <f t="shared" si="15"/>
        <v>20158.745690161832</v>
      </c>
      <c r="AK18" s="109">
        <f t="shared" si="15"/>
        <v>20763.508060866687</v>
      </c>
      <c r="AL18" s="109">
        <f t="shared" si="15"/>
        <v>21386.413302692687</v>
      </c>
      <c r="AM18" s="109">
        <f t="shared" si="15"/>
        <v>22028.005701773469</v>
      </c>
      <c r="AN18" s="109">
        <f t="shared" si="15"/>
        <v>22688.845872826674</v>
      </c>
      <c r="AO18" s="114"/>
    </row>
    <row r="19" spans="1:54" s="86" customFormat="1" ht="16.149999999999999" thickTop="1">
      <c r="A19" s="51"/>
      <c r="B19" s="93" t="s">
        <v>242</v>
      </c>
      <c r="C19" s="130">
        <f ca="1">SUM(C15:C18)</f>
        <v>9782171.2802249994</v>
      </c>
      <c r="D19" s="130">
        <f ca="1">SUM(D15:D18)</f>
        <v>815180.94001875003</v>
      </c>
      <c r="E19" s="131">
        <f ca="1">SUM(E15:E18)</f>
        <v>1</v>
      </c>
      <c r="F19" s="117"/>
      <c r="G19" s="374">
        <f t="shared" ca="1" si="10"/>
        <v>0</v>
      </c>
      <c r="H19" s="596">
        <v>0</v>
      </c>
      <c r="I19" s="597">
        <v>0</v>
      </c>
      <c r="J19" s="598">
        <v>0</v>
      </c>
      <c r="K19" s="407" t="s">
        <v>252</v>
      </c>
      <c r="L19" s="327">
        <v>1</v>
      </c>
      <c r="M19" s="327" t="s">
        <v>218</v>
      </c>
      <c r="N19" s="408">
        <f>N15</f>
        <v>275000</v>
      </c>
      <c r="O19" s="409" t="str">
        <f t="shared" ca="1" si="5"/>
        <v/>
      </c>
      <c r="P19" s="127"/>
      <c r="Q19" s="137"/>
      <c r="R19" s="51"/>
      <c r="S19" s="51"/>
      <c r="T19" s="67" t="s">
        <v>247</v>
      </c>
      <c r="U19" s="51"/>
      <c r="V19" s="650">
        <v>0.08</v>
      </c>
      <c r="W19" s="51"/>
      <c r="X19" s="67" t="s">
        <v>248</v>
      </c>
      <c r="Y19" s="109"/>
      <c r="Z19" s="109">
        <f ca="1">V20*$G$38</f>
        <v>3600</v>
      </c>
      <c r="AA19" s="109">
        <f t="shared" ref="AA19:AN19" ca="1" si="16">Z19*(1+$V$8)</f>
        <v>3708</v>
      </c>
      <c r="AB19" s="109">
        <f t="shared" ca="1" si="16"/>
        <v>3819.2400000000002</v>
      </c>
      <c r="AC19" s="109">
        <f t="shared" ca="1" si="16"/>
        <v>3933.8172000000004</v>
      </c>
      <c r="AD19" s="109">
        <f t="shared" ca="1" si="16"/>
        <v>4051.8317160000006</v>
      </c>
      <c r="AE19" s="109">
        <f t="shared" ca="1" si="16"/>
        <v>4173.3866674800011</v>
      </c>
      <c r="AF19" s="109">
        <f t="shared" ca="1" si="16"/>
        <v>4298.5882675044013</v>
      </c>
      <c r="AG19" s="109">
        <f t="shared" ca="1" si="16"/>
        <v>4427.5459155295339</v>
      </c>
      <c r="AH19" s="109">
        <f t="shared" ca="1" si="16"/>
        <v>4560.3722929954201</v>
      </c>
      <c r="AI19" s="109">
        <f t="shared" ca="1" si="16"/>
        <v>4697.1834617852828</v>
      </c>
      <c r="AJ19" s="109">
        <f t="shared" ca="1" si="16"/>
        <v>4838.098965638841</v>
      </c>
      <c r="AK19" s="109">
        <f t="shared" ca="1" si="16"/>
        <v>4983.241934608006</v>
      </c>
      <c r="AL19" s="109">
        <f t="shared" ca="1" si="16"/>
        <v>5132.739192646246</v>
      </c>
      <c r="AM19" s="109">
        <f t="shared" ca="1" si="16"/>
        <v>5286.721368425634</v>
      </c>
      <c r="AN19" s="109">
        <f t="shared" ca="1" si="16"/>
        <v>5445.323009478403</v>
      </c>
      <c r="AO19" s="114"/>
      <c r="AP19" s="51"/>
      <c r="AQ19" s="51"/>
      <c r="AR19" s="51"/>
      <c r="AS19" s="51"/>
      <c r="AT19" s="51"/>
      <c r="AU19" s="51"/>
      <c r="AV19" s="51"/>
      <c r="AW19" s="51"/>
      <c r="AX19" s="51"/>
      <c r="AY19" s="51"/>
      <c r="AZ19" s="51"/>
      <c r="BA19" s="51"/>
      <c r="BB19" s="51"/>
    </row>
    <row r="20" spans="1:54" ht="15">
      <c r="B20" s="94"/>
      <c r="C20" s="135"/>
      <c r="D20" s="135"/>
      <c r="E20" s="116"/>
      <c r="F20" s="117"/>
      <c r="G20" s="406">
        <f t="shared" ca="1" si="10"/>
        <v>0</v>
      </c>
      <c r="H20" s="586">
        <v>0</v>
      </c>
      <c r="I20" s="587">
        <v>0</v>
      </c>
      <c r="J20" s="588">
        <v>0</v>
      </c>
      <c r="K20" s="379" t="s">
        <v>255</v>
      </c>
      <c r="L20" s="235">
        <v>2</v>
      </c>
      <c r="M20" s="380">
        <v>0.5</v>
      </c>
      <c r="N20" s="609">
        <v>400000</v>
      </c>
      <c r="O20" s="367" t="str">
        <f t="shared" ca="1" si="5"/>
        <v/>
      </c>
      <c r="P20" s="127"/>
      <c r="Q20" s="127"/>
      <c r="R20" s="86"/>
      <c r="S20" s="86"/>
      <c r="T20" s="67" t="s">
        <v>253</v>
      </c>
      <c r="U20" s="86"/>
      <c r="V20" s="648">
        <v>300</v>
      </c>
      <c r="W20" s="86"/>
      <c r="X20" s="67" t="s">
        <v>452</v>
      </c>
      <c r="Y20" s="109"/>
      <c r="Z20" s="109">
        <f ca="1">V21*$G$38</f>
        <v>18000</v>
      </c>
      <c r="AA20" s="109">
        <f t="shared" ref="AA20:AN20" ca="1" si="17">Z20*(1+$V$8)</f>
        <v>18540</v>
      </c>
      <c r="AB20" s="109">
        <f t="shared" ca="1" si="17"/>
        <v>19096.2</v>
      </c>
      <c r="AC20" s="109">
        <f t="shared" ca="1" si="17"/>
        <v>19669.086000000003</v>
      </c>
      <c r="AD20" s="109">
        <f t="shared" ca="1" si="17"/>
        <v>20259.158580000003</v>
      </c>
      <c r="AE20" s="109">
        <f t="shared" ca="1" si="17"/>
        <v>20866.933337400005</v>
      </c>
      <c r="AF20" s="109">
        <f t="shared" ca="1" si="17"/>
        <v>21492.941337522007</v>
      </c>
      <c r="AG20" s="109">
        <f t="shared" ca="1" si="17"/>
        <v>22137.729577647668</v>
      </c>
      <c r="AH20" s="109">
        <f t="shared" ca="1" si="17"/>
        <v>22801.861464977097</v>
      </c>
      <c r="AI20" s="109">
        <f t="shared" ca="1" si="17"/>
        <v>23485.917308926411</v>
      </c>
      <c r="AJ20" s="109">
        <f t="shared" ca="1" si="17"/>
        <v>24190.494828194205</v>
      </c>
      <c r="AK20" s="109">
        <f t="shared" ca="1" si="17"/>
        <v>24916.209673040034</v>
      </c>
      <c r="AL20" s="109">
        <f t="shared" ca="1" si="17"/>
        <v>25663.695963231236</v>
      </c>
      <c r="AM20" s="109">
        <f t="shared" ca="1" si="17"/>
        <v>26433.606842128174</v>
      </c>
      <c r="AN20" s="109">
        <f t="shared" ca="1" si="17"/>
        <v>27226.615047392021</v>
      </c>
      <c r="AO20" s="138"/>
      <c r="AP20" s="86"/>
      <c r="AQ20" s="86"/>
      <c r="AR20" s="86"/>
      <c r="AS20" s="86"/>
      <c r="AT20" s="86"/>
      <c r="AU20" s="86"/>
      <c r="AV20" s="86"/>
      <c r="AW20" s="86"/>
      <c r="AX20" s="86"/>
      <c r="AY20" s="86"/>
      <c r="AZ20" s="86"/>
      <c r="BA20" s="86"/>
      <c r="BB20" s="86"/>
    </row>
    <row r="21" spans="1:54" ht="15.6">
      <c r="A21" s="86"/>
      <c r="B21" s="462" t="s">
        <v>249</v>
      </c>
      <c r="C21" s="465" t="s">
        <v>250</v>
      </c>
      <c r="D21" s="463" t="s">
        <v>223</v>
      </c>
      <c r="E21" s="464" t="s">
        <v>251</v>
      </c>
      <c r="F21" s="117"/>
      <c r="G21" s="373">
        <f t="shared" ca="1" si="10"/>
        <v>0</v>
      </c>
      <c r="H21" s="589">
        <v>0</v>
      </c>
      <c r="I21" s="590">
        <v>0</v>
      </c>
      <c r="J21" s="592">
        <v>0</v>
      </c>
      <c r="K21" s="125" t="s">
        <v>258</v>
      </c>
      <c r="L21" s="55">
        <v>2</v>
      </c>
      <c r="M21" s="126">
        <v>0.6</v>
      </c>
      <c r="N21" s="132">
        <f>N20</f>
        <v>400000</v>
      </c>
      <c r="O21" s="367" t="str">
        <f t="shared" ca="1" si="5"/>
        <v/>
      </c>
      <c r="P21" s="127"/>
      <c r="Q21" s="127"/>
      <c r="S21" s="102"/>
      <c r="T21" s="67" t="s">
        <v>256</v>
      </c>
      <c r="V21" s="648">
        <v>1500</v>
      </c>
      <c r="X21" s="67" t="s">
        <v>257</v>
      </c>
      <c r="Y21" s="109"/>
      <c r="Z21" s="109">
        <f ca="1">V22*$G$38</f>
        <v>2400</v>
      </c>
      <c r="AA21" s="109">
        <f t="shared" ref="AA21:AN21" ca="1" si="18">Z21*(1+$V$8)</f>
        <v>2472</v>
      </c>
      <c r="AB21" s="109">
        <f t="shared" ca="1" si="18"/>
        <v>2546.16</v>
      </c>
      <c r="AC21" s="109">
        <f t="shared" ca="1" si="18"/>
        <v>2622.5448000000001</v>
      </c>
      <c r="AD21" s="109">
        <f t="shared" ca="1" si="18"/>
        <v>2701.2211440000001</v>
      </c>
      <c r="AE21" s="109">
        <f t="shared" ca="1" si="18"/>
        <v>2782.2577783199999</v>
      </c>
      <c r="AF21" s="109">
        <f t="shared" ca="1" si="18"/>
        <v>2865.7255116696001</v>
      </c>
      <c r="AG21" s="109">
        <f t="shared" ca="1" si="18"/>
        <v>2951.697277019688</v>
      </c>
      <c r="AH21" s="109">
        <f t="shared" ca="1" si="18"/>
        <v>3040.2481953302786</v>
      </c>
      <c r="AI21" s="109">
        <f t="shared" ca="1" si="18"/>
        <v>3131.4556411901872</v>
      </c>
      <c r="AJ21" s="109">
        <f t="shared" ca="1" si="18"/>
        <v>3225.399310425893</v>
      </c>
      <c r="AK21" s="109">
        <f t="shared" ca="1" si="18"/>
        <v>3322.1612897386699</v>
      </c>
      <c r="AL21" s="109">
        <f t="shared" ca="1" si="18"/>
        <v>3421.8261284308301</v>
      </c>
      <c r="AM21" s="109">
        <f t="shared" ca="1" si="18"/>
        <v>3524.4809122837551</v>
      </c>
      <c r="AN21" s="109">
        <f t="shared" ca="1" si="18"/>
        <v>3630.2153396522676</v>
      </c>
      <c r="AO21" s="114"/>
    </row>
    <row r="22" spans="1:54" ht="15">
      <c r="B22" s="91" t="str">
        <f>L51</f>
        <v>Acq/Rehab Senior Loan</v>
      </c>
      <c r="C22" s="115">
        <f ca="1">M52*I93</f>
        <v>7336628.4601687491</v>
      </c>
      <c r="D22" s="115">
        <f ca="1">IF($G$38&gt;0,C22/$G$38,0)</f>
        <v>611385.70501406246</v>
      </c>
      <c r="E22" s="116">
        <f t="shared" ref="E22:E28" ca="1" si="19">C22/$C$29</f>
        <v>0.53409237073291427</v>
      </c>
      <c r="F22" s="136"/>
      <c r="G22" s="373">
        <f t="shared" ca="1" si="10"/>
        <v>4</v>
      </c>
      <c r="H22" s="589">
        <v>4</v>
      </c>
      <c r="I22" s="590">
        <v>0</v>
      </c>
      <c r="J22" s="592">
        <v>0</v>
      </c>
      <c r="K22" s="125" t="s">
        <v>261</v>
      </c>
      <c r="L22" s="55">
        <v>2</v>
      </c>
      <c r="M22" s="126">
        <v>0.8</v>
      </c>
      <c r="N22" s="132">
        <f>N20</f>
        <v>400000</v>
      </c>
      <c r="O22" s="367">
        <f t="shared" ca="1" si="5"/>
        <v>2104</v>
      </c>
      <c r="P22" s="127"/>
      <c r="Q22" s="127"/>
      <c r="T22" s="98" t="s">
        <v>259</v>
      </c>
      <c r="U22" s="170"/>
      <c r="V22" s="651">
        <v>200</v>
      </c>
      <c r="X22" s="484" t="s">
        <v>260</v>
      </c>
      <c r="Y22" s="485"/>
      <c r="Z22" s="485">
        <f t="shared" ref="Z22:AN22" ca="1" si="20">SUM(Z12:Z21)</f>
        <v>201194.0992</v>
      </c>
      <c r="AA22" s="485">
        <f t="shared" ca="1" si="20"/>
        <v>207229.92217600002</v>
      </c>
      <c r="AB22" s="485">
        <f t="shared" ca="1" si="20"/>
        <v>134178.62704128004</v>
      </c>
      <c r="AC22" s="485">
        <f t="shared" ca="1" si="20"/>
        <v>138203.98585251844</v>
      </c>
      <c r="AD22" s="485">
        <f t="shared" ca="1" si="20"/>
        <v>142350.10542809399</v>
      </c>
      <c r="AE22" s="485">
        <f t="shared" ca="1" si="20"/>
        <v>146620.60859093678</v>
      </c>
      <c r="AF22" s="485">
        <f t="shared" ca="1" si="20"/>
        <v>151019.2268486649</v>
      </c>
      <c r="AG22" s="485">
        <f t="shared" ca="1" si="20"/>
        <v>155549.80365412484</v>
      </c>
      <c r="AH22" s="485">
        <f t="shared" ca="1" si="20"/>
        <v>160216.29776374859</v>
      </c>
      <c r="AI22" s="485">
        <f t="shared" ca="1" si="20"/>
        <v>165022.78669666106</v>
      </c>
      <c r="AJ22" s="485">
        <f t="shared" ca="1" si="20"/>
        <v>169973.47029756088</v>
      </c>
      <c r="AK22" s="485">
        <f t="shared" ca="1" si="20"/>
        <v>175072.67440648773</v>
      </c>
      <c r="AL22" s="485">
        <f t="shared" ca="1" si="20"/>
        <v>180324.85463868239</v>
      </c>
      <c r="AM22" s="485">
        <f t="shared" ca="1" si="20"/>
        <v>185734.60027784287</v>
      </c>
      <c r="AN22" s="485">
        <f t="shared" ca="1" si="20"/>
        <v>191306.63828617815</v>
      </c>
      <c r="AO22" s="107"/>
    </row>
    <row r="23" spans="1:54">
      <c r="B23" s="91" t="str">
        <f>L58</f>
        <v>Subordinate Loan #1 (IO-&gt;P&amp;I)</v>
      </c>
      <c r="C23" s="115">
        <f ca="1">M59</f>
        <v>250000</v>
      </c>
      <c r="D23" s="115">
        <f t="shared" ref="D23:D28" ca="1" si="21">IF($G$38&gt;0,C23/$G$38,0)</f>
        <v>20833.333333333332</v>
      </c>
      <c r="E23" s="116">
        <f t="shared" ca="1" si="19"/>
        <v>1.8199516768245536E-2</v>
      </c>
      <c r="F23" s="117"/>
      <c r="G23" s="373">
        <f t="shared" ca="1" si="10"/>
        <v>0</v>
      </c>
      <c r="H23" s="589">
        <v>0</v>
      </c>
      <c r="I23" s="590">
        <v>0</v>
      </c>
      <c r="J23" s="592">
        <v>0</v>
      </c>
      <c r="K23" s="125" t="s">
        <v>262</v>
      </c>
      <c r="L23" s="55">
        <v>2</v>
      </c>
      <c r="M23" s="126">
        <v>1</v>
      </c>
      <c r="N23" s="132">
        <f>N21</f>
        <v>400000</v>
      </c>
      <c r="O23" s="367" t="str">
        <f t="shared" ca="1" si="5"/>
        <v/>
      </c>
      <c r="P23" s="127"/>
      <c r="Q23" s="127"/>
      <c r="X23" s="133"/>
      <c r="Y23" s="134"/>
      <c r="Z23" s="134"/>
      <c r="AA23" s="134"/>
      <c r="AB23" s="134"/>
      <c r="AC23" s="134"/>
      <c r="AD23" s="134"/>
      <c r="AE23" s="134"/>
      <c r="AF23" s="134"/>
      <c r="AG23" s="134"/>
      <c r="AH23" s="134"/>
      <c r="AI23" s="134"/>
      <c r="AJ23" s="134"/>
      <c r="AK23" s="134"/>
      <c r="AL23" s="134"/>
      <c r="AM23" s="134"/>
      <c r="AN23" s="134"/>
      <c r="AO23" s="114"/>
    </row>
    <row r="24" spans="1:54" ht="14.45" thickBot="1">
      <c r="B24" s="91" t="str">
        <f>L67</f>
        <v>Rehab Tax Credits</v>
      </c>
      <c r="C24" s="115">
        <f ca="1">M68*M69*M70</f>
        <v>0</v>
      </c>
      <c r="D24" s="115">
        <f t="shared" ca="1" si="21"/>
        <v>0</v>
      </c>
      <c r="E24" s="116">
        <f t="shared" ca="1" si="19"/>
        <v>0</v>
      </c>
      <c r="F24" s="117"/>
      <c r="G24" s="373">
        <f t="shared" ca="1" si="10"/>
        <v>0</v>
      </c>
      <c r="H24" s="589">
        <v>0</v>
      </c>
      <c r="I24" s="590">
        <v>0</v>
      </c>
      <c r="J24" s="592">
        <v>0</v>
      </c>
      <c r="K24" s="125" t="s">
        <v>264</v>
      </c>
      <c r="L24" s="55">
        <v>2</v>
      </c>
      <c r="M24" s="126">
        <v>1.2</v>
      </c>
      <c r="N24" s="132">
        <f>N22</f>
        <v>400000</v>
      </c>
      <c r="O24" s="367" t="str">
        <f t="shared" ca="1" si="5"/>
        <v/>
      </c>
      <c r="P24" s="127"/>
      <c r="Q24" s="127"/>
      <c r="S24" s="55"/>
      <c r="T24" s="51"/>
      <c r="X24" s="143" t="s">
        <v>263</v>
      </c>
      <c r="Y24" s="144"/>
      <c r="Z24" s="144">
        <f ca="1">Z9-Z22</f>
        <v>77632.140800000052</v>
      </c>
      <c r="AA24" s="144">
        <f t="shared" ref="AA24:AN24" ca="1" si="22">AA9-AA22</f>
        <v>79961.105024000048</v>
      </c>
      <c r="AB24" s="144">
        <f t="shared" ca="1" si="22"/>
        <v>161628.13097472006</v>
      </c>
      <c r="AC24" s="144">
        <f t="shared" ca="1" si="22"/>
        <v>166476.97490396161</v>
      </c>
      <c r="AD24" s="144">
        <f t="shared" ca="1" si="22"/>
        <v>171471.28415108047</v>
      </c>
      <c r="AE24" s="144">
        <f t="shared" ca="1" si="22"/>
        <v>176615.42267561288</v>
      </c>
      <c r="AF24" s="144">
        <f t="shared" ca="1" si="22"/>
        <v>181913.88535588127</v>
      </c>
      <c r="AG24" s="144">
        <f t="shared" ca="1" si="22"/>
        <v>187371.30191655771</v>
      </c>
      <c r="AH24" s="144">
        <f t="shared" ca="1" si="22"/>
        <v>192992.44097405442</v>
      </c>
      <c r="AI24" s="144">
        <f t="shared" ca="1" si="22"/>
        <v>198782.21420327606</v>
      </c>
      <c r="AJ24" s="144">
        <f t="shared" ca="1" si="22"/>
        <v>204745.68062937437</v>
      </c>
      <c r="AK24" s="144">
        <f t="shared" ca="1" si="22"/>
        <v>210888.05104825564</v>
      </c>
      <c r="AL24" s="144">
        <f t="shared" ca="1" si="22"/>
        <v>217214.69257970329</v>
      </c>
      <c r="AM24" s="144">
        <f t="shared" ca="1" si="22"/>
        <v>223731.13335709434</v>
      </c>
      <c r="AN24" s="144">
        <f t="shared" ca="1" si="22"/>
        <v>230443.06735780722</v>
      </c>
      <c r="AO24" s="114"/>
    </row>
    <row r="25" spans="1:54" ht="15.6" thickTop="1">
      <c r="B25" s="91" t="str">
        <f>L73</f>
        <v>Sponsor Equity</v>
      </c>
      <c r="C25" s="115">
        <f ca="1">M74</f>
        <v>150000</v>
      </c>
      <c r="D25" s="115">
        <f t="shared" ca="1" si="21"/>
        <v>12500</v>
      </c>
      <c r="E25" s="116">
        <f t="shared" ca="1" si="19"/>
        <v>1.0919710060947321E-2</v>
      </c>
      <c r="F25" s="117"/>
      <c r="G25" s="374">
        <f t="shared" ca="1" si="10"/>
        <v>0</v>
      </c>
      <c r="H25" s="596">
        <v>0</v>
      </c>
      <c r="I25" s="597">
        <v>0</v>
      </c>
      <c r="J25" s="598">
        <v>0</v>
      </c>
      <c r="K25" s="407" t="s">
        <v>265</v>
      </c>
      <c r="L25" s="327">
        <v>2</v>
      </c>
      <c r="M25" s="327" t="s">
        <v>218</v>
      </c>
      <c r="N25" s="408">
        <f>N21</f>
        <v>400000</v>
      </c>
      <c r="O25" s="409" t="str">
        <f t="shared" ca="1" si="5"/>
        <v/>
      </c>
      <c r="P25" s="137"/>
      <c r="Q25" s="127"/>
      <c r="S25" s="55"/>
      <c r="T25" s="51"/>
      <c r="X25" s="67"/>
      <c r="AO25" s="114"/>
    </row>
    <row r="26" spans="1:54">
      <c r="B26" s="91" t="str">
        <f>L77</f>
        <v>Grant Type #1</v>
      </c>
      <c r="C26" s="115">
        <f ca="1">M78</f>
        <v>3000000</v>
      </c>
      <c r="D26" s="115">
        <f t="shared" ca="1" si="21"/>
        <v>250000</v>
      </c>
      <c r="E26" s="116">
        <f t="shared" ca="1" si="19"/>
        <v>0.21839420121894643</v>
      </c>
      <c r="F26" s="117"/>
      <c r="G26" s="406">
        <f t="shared" ca="1" si="10"/>
        <v>0</v>
      </c>
      <c r="H26" s="586">
        <v>0</v>
      </c>
      <c r="I26" s="587">
        <v>0</v>
      </c>
      <c r="J26" s="588">
        <v>0</v>
      </c>
      <c r="K26" s="379" t="s">
        <v>268</v>
      </c>
      <c r="L26" s="235">
        <v>3</v>
      </c>
      <c r="M26" s="380">
        <v>0.5</v>
      </c>
      <c r="N26" s="609">
        <v>520000</v>
      </c>
      <c r="O26" s="367" t="str">
        <f t="shared" ca="1" si="5"/>
        <v/>
      </c>
      <c r="P26" s="127"/>
      <c r="Q26" s="127"/>
      <c r="X26" s="816" t="s">
        <v>267</v>
      </c>
      <c r="Y26" s="825"/>
      <c r="AO26" s="114"/>
    </row>
    <row r="27" spans="1:54" ht="27.4" customHeight="1">
      <c r="B27" s="91" t="str">
        <f>L81</f>
        <v>Grant Type #2</v>
      </c>
      <c r="C27" s="115">
        <f ca="1">M82</f>
        <v>2000000</v>
      </c>
      <c r="D27" s="115">
        <f t="shared" ca="1" si="21"/>
        <v>166666.66666666666</v>
      </c>
      <c r="E27" s="116">
        <f t="shared" ca="1" si="19"/>
        <v>0.14559613414596428</v>
      </c>
      <c r="F27" s="117"/>
      <c r="G27" s="373">
        <f t="shared" ca="1" si="10"/>
        <v>0</v>
      </c>
      <c r="H27" s="589">
        <v>0</v>
      </c>
      <c r="I27" s="590">
        <v>0</v>
      </c>
      <c r="J27" s="592">
        <v>0</v>
      </c>
      <c r="K27" s="125" t="s">
        <v>269</v>
      </c>
      <c r="L27" s="55">
        <v>3</v>
      </c>
      <c r="M27" s="126">
        <v>0.6</v>
      </c>
      <c r="N27" s="132">
        <f>N26</f>
        <v>520000</v>
      </c>
      <c r="O27" s="367" t="str">
        <f t="shared" ca="1" si="5"/>
        <v/>
      </c>
      <c r="P27" s="127"/>
      <c r="Q27" s="127"/>
      <c r="R27" s="447" t="s">
        <v>266</v>
      </c>
      <c r="S27" s="32" t="s">
        <v>171</v>
      </c>
      <c r="T27" s="613">
        <v>1</v>
      </c>
      <c r="U27" s="106"/>
      <c r="V27" s="155"/>
      <c r="X27" s="67" t="str">
        <f>R72</f>
        <v>Additional Sponsor Equity</v>
      </c>
      <c r="Z27" s="109">
        <f t="shared" ref="Z27:AN27" ca="1" si="23">IF($S$74=Z4,$S$73,0)</f>
        <v>0</v>
      </c>
      <c r="AA27" s="109">
        <f t="shared" ca="1" si="23"/>
        <v>0</v>
      </c>
      <c r="AB27" s="109">
        <f t="shared" ca="1" si="23"/>
        <v>0</v>
      </c>
      <c r="AC27" s="109">
        <f t="shared" ca="1" si="23"/>
        <v>0</v>
      </c>
      <c r="AD27" s="109">
        <f t="shared" ca="1" si="23"/>
        <v>400000</v>
      </c>
      <c r="AE27" s="109">
        <f t="shared" ca="1" si="23"/>
        <v>0</v>
      </c>
      <c r="AF27" s="109">
        <f t="shared" ca="1" si="23"/>
        <v>0</v>
      </c>
      <c r="AG27" s="109">
        <f t="shared" ca="1" si="23"/>
        <v>0</v>
      </c>
      <c r="AH27" s="109">
        <f t="shared" ca="1" si="23"/>
        <v>0</v>
      </c>
      <c r="AI27" s="109">
        <f t="shared" ca="1" si="23"/>
        <v>0</v>
      </c>
      <c r="AJ27" s="109">
        <f t="shared" ca="1" si="23"/>
        <v>0</v>
      </c>
      <c r="AK27" s="109">
        <f t="shared" ca="1" si="23"/>
        <v>0</v>
      </c>
      <c r="AL27" s="109">
        <f t="shared" ca="1" si="23"/>
        <v>0</v>
      </c>
      <c r="AM27" s="109">
        <f t="shared" ca="1" si="23"/>
        <v>0</v>
      </c>
      <c r="AN27" s="109">
        <f t="shared" ca="1" si="23"/>
        <v>0</v>
      </c>
      <c r="AO27" s="114"/>
    </row>
    <row r="28" spans="1:54" ht="14.45" thickBot="1">
      <c r="B28" s="92" t="str">
        <f>L85</f>
        <v>Grant Type #3</v>
      </c>
      <c r="C28" s="123">
        <f ca="1">M86</f>
        <v>1000000</v>
      </c>
      <c r="D28" s="123">
        <f t="shared" ca="1" si="21"/>
        <v>83333.333333333328</v>
      </c>
      <c r="E28" s="124">
        <f t="shared" ca="1" si="19"/>
        <v>7.2798067072982142E-2</v>
      </c>
      <c r="F28" s="117"/>
      <c r="G28" s="373">
        <f t="shared" ca="1" si="10"/>
        <v>4</v>
      </c>
      <c r="H28" s="589">
        <v>4</v>
      </c>
      <c r="I28" s="590">
        <v>0</v>
      </c>
      <c r="J28" s="592">
        <v>0</v>
      </c>
      <c r="K28" s="125" t="s">
        <v>273</v>
      </c>
      <c r="L28" s="55">
        <v>3</v>
      </c>
      <c r="M28" s="126">
        <v>0.8</v>
      </c>
      <c r="N28" s="132">
        <f>N26</f>
        <v>520000</v>
      </c>
      <c r="O28" s="367">
        <f t="shared" ca="1" si="5"/>
        <v>2338</v>
      </c>
      <c r="P28" s="127"/>
      <c r="Q28" s="127"/>
      <c r="R28" s="53"/>
      <c r="S28" s="505" t="s">
        <v>181</v>
      </c>
      <c r="T28" s="64">
        <v>1</v>
      </c>
      <c r="U28" s="18">
        <v>2</v>
      </c>
      <c r="V28" s="17">
        <v>3</v>
      </c>
      <c r="X28" s="67" t="str">
        <f>R77</f>
        <v>Grant Type #4 - Ongoing Subsidy</v>
      </c>
      <c r="Z28" s="109">
        <f t="shared" ref="Z28:AN28" ca="1" si="24">IF(Z4&lt;$S$79,0,$S$78)</f>
        <v>0</v>
      </c>
      <c r="AA28" s="109">
        <f t="shared" ca="1" si="24"/>
        <v>0</v>
      </c>
      <c r="AB28" s="109">
        <f t="shared" ca="1" si="24"/>
        <v>0</v>
      </c>
      <c r="AC28" s="109">
        <f t="shared" ca="1" si="24"/>
        <v>0</v>
      </c>
      <c r="AD28" s="109">
        <f t="shared" ca="1" si="24"/>
        <v>0</v>
      </c>
      <c r="AE28" s="109">
        <f t="shared" ca="1" si="24"/>
        <v>100000</v>
      </c>
      <c r="AF28" s="109">
        <f t="shared" ca="1" si="24"/>
        <v>100000</v>
      </c>
      <c r="AG28" s="109">
        <f t="shared" ca="1" si="24"/>
        <v>100000</v>
      </c>
      <c r="AH28" s="109">
        <f t="shared" ca="1" si="24"/>
        <v>100000</v>
      </c>
      <c r="AI28" s="109">
        <f t="shared" ca="1" si="24"/>
        <v>100000</v>
      </c>
      <c r="AJ28" s="109">
        <f t="shared" ca="1" si="24"/>
        <v>100000</v>
      </c>
      <c r="AK28" s="109">
        <f t="shared" ca="1" si="24"/>
        <v>100000</v>
      </c>
      <c r="AL28" s="109">
        <f t="shared" ca="1" si="24"/>
        <v>100000</v>
      </c>
      <c r="AM28" s="109">
        <f t="shared" ca="1" si="24"/>
        <v>100000</v>
      </c>
      <c r="AN28" s="109">
        <f t="shared" ca="1" si="24"/>
        <v>100000</v>
      </c>
      <c r="AO28" s="114"/>
    </row>
    <row r="29" spans="1:54" ht="16.899999999999999" thickTop="1" thickBot="1">
      <c r="B29" s="93" t="s">
        <v>278</v>
      </c>
      <c r="C29" s="130">
        <f ca="1">SUM(C22:C28)</f>
        <v>13736628.460168749</v>
      </c>
      <c r="D29" s="130">
        <f ca="1">SUM(D22:D28)</f>
        <v>1144719.0383473958</v>
      </c>
      <c r="E29" s="131">
        <f ca="1">SUM(E22:E28)</f>
        <v>0.99999999999999978</v>
      </c>
      <c r="F29" s="147"/>
      <c r="G29" s="373">
        <f t="shared" ca="1" si="10"/>
        <v>0</v>
      </c>
      <c r="H29" s="589">
        <v>0</v>
      </c>
      <c r="I29" s="590">
        <v>0</v>
      </c>
      <c r="J29" s="592">
        <v>0</v>
      </c>
      <c r="K29" s="125" t="s">
        <v>276</v>
      </c>
      <c r="L29" s="55">
        <v>3</v>
      </c>
      <c r="M29" s="126">
        <v>1</v>
      </c>
      <c r="N29" s="132">
        <f>N27</f>
        <v>520000</v>
      </c>
      <c r="O29" s="367" t="str">
        <f t="shared" ca="1" si="5"/>
        <v/>
      </c>
      <c r="P29" s="127"/>
      <c r="Q29" s="127"/>
      <c r="R29" s="53"/>
      <c r="S29" s="504" t="s">
        <v>186</v>
      </c>
      <c r="T29" s="652" t="s">
        <v>270</v>
      </c>
      <c r="U29" s="653" t="s">
        <v>271</v>
      </c>
      <c r="V29" s="654" t="s">
        <v>272</v>
      </c>
      <c r="X29" s="484" t="s">
        <v>275</v>
      </c>
      <c r="Y29" s="827"/>
      <c r="Z29" s="485">
        <f ca="1">SUM(Z27:Z28)</f>
        <v>0</v>
      </c>
      <c r="AA29" s="485">
        <f t="shared" ref="AA29:AN29" ca="1" si="25">SUM(AA27:AA28)</f>
        <v>0</v>
      </c>
      <c r="AB29" s="485">
        <f t="shared" ca="1" si="25"/>
        <v>0</v>
      </c>
      <c r="AC29" s="485">
        <f t="shared" ca="1" si="25"/>
        <v>0</v>
      </c>
      <c r="AD29" s="485">
        <f t="shared" ca="1" si="25"/>
        <v>400000</v>
      </c>
      <c r="AE29" s="485">
        <f t="shared" ca="1" si="25"/>
        <v>100000</v>
      </c>
      <c r="AF29" s="485">
        <f t="shared" ca="1" si="25"/>
        <v>100000</v>
      </c>
      <c r="AG29" s="485">
        <f t="shared" ca="1" si="25"/>
        <v>100000</v>
      </c>
      <c r="AH29" s="485">
        <f t="shared" ca="1" si="25"/>
        <v>100000</v>
      </c>
      <c r="AI29" s="485">
        <f t="shared" ca="1" si="25"/>
        <v>100000</v>
      </c>
      <c r="AJ29" s="485">
        <f t="shared" ca="1" si="25"/>
        <v>100000</v>
      </c>
      <c r="AK29" s="485">
        <f t="shared" ca="1" si="25"/>
        <v>100000</v>
      </c>
      <c r="AL29" s="485">
        <f t="shared" ca="1" si="25"/>
        <v>100000</v>
      </c>
      <c r="AM29" s="485">
        <f t="shared" ca="1" si="25"/>
        <v>100000</v>
      </c>
      <c r="AN29" s="485">
        <f t="shared" ca="1" si="25"/>
        <v>100000</v>
      </c>
      <c r="AO29" s="114"/>
    </row>
    <row r="30" spans="1:54">
      <c r="B30" s="94"/>
      <c r="C30" s="135"/>
      <c r="D30" s="135"/>
      <c r="E30" s="116"/>
      <c r="F30" s="116"/>
      <c r="G30" s="373">
        <f t="shared" ca="1" si="10"/>
        <v>0</v>
      </c>
      <c r="H30" s="589">
        <v>0</v>
      </c>
      <c r="I30" s="590">
        <v>0</v>
      </c>
      <c r="J30" s="592">
        <v>0</v>
      </c>
      <c r="K30" s="125" t="s">
        <v>279</v>
      </c>
      <c r="L30" s="55">
        <v>3</v>
      </c>
      <c r="M30" s="126">
        <v>1.2</v>
      </c>
      <c r="N30" s="132">
        <f>N28</f>
        <v>520000</v>
      </c>
      <c r="O30" s="367" t="str">
        <f t="shared" ca="1" si="5"/>
        <v/>
      </c>
      <c r="P30" s="127"/>
      <c r="Q30" s="127"/>
      <c r="R30" s="54" t="s">
        <v>453</v>
      </c>
      <c r="S30" s="58"/>
      <c r="T30" s="164"/>
      <c r="U30" s="167"/>
      <c r="V30" s="165"/>
      <c r="X30" s="67"/>
      <c r="AO30" s="114"/>
    </row>
    <row r="31" spans="1:54" ht="28.15" thickBot="1">
      <c r="B31" s="95" t="s">
        <v>286</v>
      </c>
      <c r="C31" s="139">
        <f ca="1">C29-C19</f>
        <v>3954457.1799437497</v>
      </c>
      <c r="D31" s="139">
        <f ca="1">D29-D19</f>
        <v>329538.09832864581</v>
      </c>
      <c r="E31" s="140"/>
      <c r="F31" s="116"/>
      <c r="G31" s="374">
        <f t="shared" ca="1" si="10"/>
        <v>0</v>
      </c>
      <c r="H31" s="596">
        <v>0</v>
      </c>
      <c r="I31" s="597">
        <v>0</v>
      </c>
      <c r="J31" s="598">
        <v>0</v>
      </c>
      <c r="K31" s="407" t="s">
        <v>283</v>
      </c>
      <c r="L31" s="327">
        <v>3</v>
      </c>
      <c r="M31" s="327" t="s">
        <v>218</v>
      </c>
      <c r="N31" s="408">
        <f>N27</f>
        <v>520000</v>
      </c>
      <c r="O31" s="409" t="str">
        <f t="shared" ca="1" si="5"/>
        <v/>
      </c>
      <c r="P31" s="127"/>
      <c r="Q31" s="150"/>
      <c r="R31" s="11" t="s">
        <v>277</v>
      </c>
      <c r="S31" s="22">
        <f t="shared" ref="S31:S37" ca="1" si="26">IF(ISBLANK(OFFSET(S31,0,$T$27)),$T31,OFFSET(S31,0,$T$27))</f>
        <v>0.75</v>
      </c>
      <c r="T31" s="655">
        <v>0.75</v>
      </c>
      <c r="U31" s="656">
        <v>0.155</v>
      </c>
      <c r="V31" s="639"/>
      <c r="W31" s="822" t="s">
        <v>281</v>
      </c>
      <c r="X31" s="816" t="s">
        <v>282</v>
      </c>
      <c r="Y31" s="825"/>
      <c r="AO31" s="114"/>
    </row>
    <row r="32" spans="1:54" ht="14.45" thickTop="1">
      <c r="B32" s="94"/>
      <c r="C32" s="141"/>
      <c r="D32" s="141"/>
      <c r="E32" s="142"/>
      <c r="F32" s="108"/>
      <c r="G32" s="406">
        <f t="shared" ca="1" si="10"/>
        <v>0</v>
      </c>
      <c r="H32" s="586">
        <v>0</v>
      </c>
      <c r="I32" s="587">
        <v>0</v>
      </c>
      <c r="J32" s="588">
        <v>0</v>
      </c>
      <c r="K32" s="379" t="s">
        <v>287</v>
      </c>
      <c r="L32" s="235">
        <v>4</v>
      </c>
      <c r="M32" s="380">
        <v>0.5</v>
      </c>
      <c r="N32" s="609">
        <v>650000</v>
      </c>
      <c r="O32" s="367" t="str">
        <f t="shared" ca="1" si="5"/>
        <v/>
      </c>
      <c r="P32" s="127"/>
      <c r="R32" s="12" t="s">
        <v>280</v>
      </c>
      <c r="S32" s="29">
        <f t="shared" ca="1" si="26"/>
        <v>7.4999999999999997E-2</v>
      </c>
      <c r="T32" s="657">
        <v>7.4999999999999997E-2</v>
      </c>
      <c r="U32" s="658"/>
      <c r="V32" s="620"/>
      <c r="W32" s="823" t="s">
        <v>168</v>
      </c>
      <c r="X32" s="67" t="s">
        <v>285</v>
      </c>
      <c r="Z32" s="109">
        <f ca="1">IF($W$32="Yes",IF(-(Z24+Z29-Z37-Z42-Z44)&gt;0,MIN(Z56,-(Z24+Z29-Z37-Z42-Z44)),0),0)</f>
        <v>53404.232634318527</v>
      </c>
      <c r="AA32" s="109">
        <f t="shared" ref="AA32:AN32" ca="1" si="27">IF($W$32="Yes",IF(-(AA24+AA29-AA37-AA42-AA44)&gt;0,MIN(AA56,-(AA24+AA29-AA37-AA42-AA44)),0),0)</f>
        <v>51075.268410318531</v>
      </c>
      <c r="AB32" s="109">
        <f t="shared" ca="1" si="27"/>
        <v>0</v>
      </c>
      <c r="AC32" s="109">
        <f t="shared" ca="1" si="27"/>
        <v>0</v>
      </c>
      <c r="AD32" s="109">
        <f t="shared" ca="1" si="27"/>
        <v>0</v>
      </c>
      <c r="AE32" s="109">
        <f t="shared" ca="1" si="27"/>
        <v>0</v>
      </c>
      <c r="AF32" s="109">
        <f t="shared" ca="1" si="27"/>
        <v>0</v>
      </c>
      <c r="AG32" s="109">
        <f t="shared" ca="1" si="27"/>
        <v>0</v>
      </c>
      <c r="AH32" s="109">
        <f t="shared" ca="1" si="27"/>
        <v>0</v>
      </c>
      <c r="AI32" s="109">
        <f t="shared" ca="1" si="27"/>
        <v>0</v>
      </c>
      <c r="AJ32" s="109">
        <f t="shared" ca="1" si="27"/>
        <v>0</v>
      </c>
      <c r="AK32" s="109">
        <f t="shared" ca="1" si="27"/>
        <v>0</v>
      </c>
      <c r="AL32" s="109">
        <f t="shared" ca="1" si="27"/>
        <v>0</v>
      </c>
      <c r="AM32" s="109">
        <f t="shared" ca="1" si="27"/>
        <v>0</v>
      </c>
      <c r="AN32" s="109">
        <f t="shared" ca="1" si="27"/>
        <v>0</v>
      </c>
      <c r="AO32" s="114"/>
    </row>
    <row r="33" spans="1:60" ht="16.149999999999999" thickBot="1">
      <c r="B33" s="458" t="s">
        <v>295</v>
      </c>
      <c r="C33" s="459" t="s">
        <v>250</v>
      </c>
      <c r="D33" s="459" t="s">
        <v>223</v>
      </c>
      <c r="E33" s="460" t="s">
        <v>224</v>
      </c>
      <c r="F33" s="117"/>
      <c r="G33" s="373">
        <f t="shared" ca="1" si="10"/>
        <v>0</v>
      </c>
      <c r="H33" s="589">
        <v>0</v>
      </c>
      <c r="I33" s="590">
        <v>0</v>
      </c>
      <c r="J33" s="592">
        <v>0</v>
      </c>
      <c r="K33" s="125" t="s">
        <v>290</v>
      </c>
      <c r="L33" s="55">
        <v>4</v>
      </c>
      <c r="M33" s="126">
        <v>0.6</v>
      </c>
      <c r="N33" s="132">
        <f>N32</f>
        <v>650000</v>
      </c>
      <c r="O33" s="367" t="str">
        <f t="shared" ca="1" si="5"/>
        <v/>
      </c>
      <c r="P33" s="127"/>
      <c r="R33" s="27" t="s">
        <v>284</v>
      </c>
      <c r="S33" s="29">
        <f t="shared" ca="1" si="26"/>
        <v>0.02</v>
      </c>
      <c r="T33" s="657">
        <v>0.02</v>
      </c>
      <c r="U33" s="658"/>
      <c r="V33" s="620"/>
      <c r="X33" s="837" t="s">
        <v>289</v>
      </c>
      <c r="Y33" s="838"/>
      <c r="Z33" s="839">
        <f t="shared" ref="Z33:AN33" ca="1" si="28">Z24+Z29+Z32</f>
        <v>131036.37343431858</v>
      </c>
      <c r="AA33" s="839">
        <f t="shared" ca="1" si="28"/>
        <v>131036.37343431858</v>
      </c>
      <c r="AB33" s="839">
        <f t="shared" ca="1" si="28"/>
        <v>161628.13097472006</v>
      </c>
      <c r="AC33" s="839">
        <f t="shared" ca="1" si="28"/>
        <v>166476.97490396161</v>
      </c>
      <c r="AD33" s="839">
        <f t="shared" ca="1" si="28"/>
        <v>571471.28415108053</v>
      </c>
      <c r="AE33" s="839">
        <f t="shared" ca="1" si="28"/>
        <v>276615.42267561285</v>
      </c>
      <c r="AF33" s="839">
        <f t="shared" ca="1" si="28"/>
        <v>281913.8853558813</v>
      </c>
      <c r="AG33" s="839">
        <f t="shared" ca="1" si="28"/>
        <v>287371.30191655771</v>
      </c>
      <c r="AH33" s="839">
        <f t="shared" ca="1" si="28"/>
        <v>292992.44097405439</v>
      </c>
      <c r="AI33" s="839">
        <f t="shared" ca="1" si="28"/>
        <v>298782.21420327609</v>
      </c>
      <c r="AJ33" s="839">
        <f t="shared" ca="1" si="28"/>
        <v>304745.68062937434</v>
      </c>
      <c r="AK33" s="839">
        <f t="shared" ca="1" si="28"/>
        <v>310888.05104825564</v>
      </c>
      <c r="AL33" s="839">
        <f t="shared" ca="1" si="28"/>
        <v>317214.69257970329</v>
      </c>
      <c r="AM33" s="839">
        <f t="shared" ca="1" si="28"/>
        <v>323731.13335709437</v>
      </c>
      <c r="AN33" s="839">
        <f t="shared" ca="1" si="28"/>
        <v>330443.06735780719</v>
      </c>
      <c r="AO33" s="114"/>
    </row>
    <row r="34" spans="1:60" s="86" customFormat="1" ht="15.6" thickTop="1">
      <c r="A34" s="51"/>
      <c r="B34" s="96" t="s">
        <v>454</v>
      </c>
      <c r="C34" s="115">
        <f ca="1">C22</f>
        <v>7336628.4601687491</v>
      </c>
      <c r="D34" s="145">
        <f ca="1">IF($G$38&gt;0,C34/$G$38,0)</f>
        <v>611385.70501406246</v>
      </c>
      <c r="E34" s="146">
        <f ca="1">C34/$C$36</f>
        <v>0.96704728571953302</v>
      </c>
      <c r="F34" s="117"/>
      <c r="G34" s="373">
        <f t="shared" ca="1" si="10"/>
        <v>0</v>
      </c>
      <c r="H34" s="589">
        <v>0</v>
      </c>
      <c r="I34" s="590">
        <v>0</v>
      </c>
      <c r="J34" s="592">
        <v>0</v>
      </c>
      <c r="K34" s="125" t="s">
        <v>292</v>
      </c>
      <c r="L34" s="55">
        <v>4</v>
      </c>
      <c r="M34" s="126">
        <v>0.8</v>
      </c>
      <c r="N34" s="132">
        <f>N32</f>
        <v>650000</v>
      </c>
      <c r="O34" s="367" t="str">
        <f t="shared" ca="1" si="5"/>
        <v/>
      </c>
      <c r="P34" s="127"/>
      <c r="R34" s="27" t="s">
        <v>288</v>
      </c>
      <c r="S34" s="59">
        <f t="shared" ca="1" si="26"/>
        <v>15</v>
      </c>
      <c r="T34" s="659">
        <v>15</v>
      </c>
      <c r="U34" s="660"/>
      <c r="V34" s="623"/>
      <c r="W34" s="51"/>
      <c r="X34" s="67"/>
      <c r="Y34" s="51"/>
      <c r="Z34" s="51"/>
      <c r="AA34" s="51"/>
      <c r="AB34" s="51"/>
      <c r="AC34" s="51"/>
      <c r="AD34" s="51"/>
      <c r="AE34" s="51"/>
      <c r="AF34" s="51"/>
      <c r="AG34" s="51"/>
      <c r="AH34" s="51"/>
      <c r="AI34" s="51"/>
      <c r="AJ34" s="51"/>
      <c r="AK34" s="51"/>
      <c r="AL34" s="51"/>
      <c r="AM34" s="51"/>
      <c r="AN34" s="51"/>
      <c r="AO34" s="114"/>
      <c r="AP34" s="51"/>
      <c r="AQ34" s="51"/>
      <c r="AR34" s="51"/>
      <c r="AS34" s="51"/>
      <c r="AT34" s="51"/>
      <c r="AU34" s="51"/>
      <c r="AV34" s="51"/>
      <c r="AW34" s="51"/>
      <c r="AX34" s="51"/>
      <c r="AY34" s="51"/>
      <c r="AZ34" s="51"/>
      <c r="BA34" s="51"/>
      <c r="BB34" s="51"/>
      <c r="BC34" s="51"/>
      <c r="BD34" s="51"/>
      <c r="BE34" s="51"/>
      <c r="BF34" s="51"/>
      <c r="BG34" s="51"/>
      <c r="BH34" s="51"/>
    </row>
    <row r="35" spans="1:60" ht="14.45" thickBot="1">
      <c r="B35" s="92" t="s">
        <v>455</v>
      </c>
      <c r="C35" s="123">
        <f ca="1">IF(M61&lt;=M54,M59,0)</f>
        <v>250000</v>
      </c>
      <c r="D35" s="123">
        <f ca="1">IF($G$38&gt;0,C35/$G$38,0)</f>
        <v>20833.333333333332</v>
      </c>
      <c r="E35" s="124">
        <f ca="1">C35/$C$36</f>
        <v>3.2952714280466984E-2</v>
      </c>
      <c r="F35" s="117"/>
      <c r="G35" s="373">
        <f t="shared" ca="1" si="10"/>
        <v>0</v>
      </c>
      <c r="H35" s="589">
        <v>0</v>
      </c>
      <c r="I35" s="590">
        <v>0</v>
      </c>
      <c r="J35" s="592">
        <v>0</v>
      </c>
      <c r="K35" s="125" t="s">
        <v>296</v>
      </c>
      <c r="L35" s="55">
        <v>4</v>
      </c>
      <c r="M35" s="126">
        <v>1</v>
      </c>
      <c r="N35" s="132">
        <f>N33</f>
        <v>650000</v>
      </c>
      <c r="O35" s="367" t="str">
        <f t="shared" ca="1" si="5"/>
        <v/>
      </c>
      <c r="P35" s="127"/>
      <c r="Q35" s="81"/>
      <c r="R35" s="27" t="s">
        <v>291</v>
      </c>
      <c r="S35" s="59">
        <f t="shared" ca="1" si="26"/>
        <v>4</v>
      </c>
      <c r="T35" s="659">
        <v>4</v>
      </c>
      <c r="U35" s="660"/>
      <c r="V35" s="623"/>
      <c r="X35" s="67"/>
      <c r="AO35" s="114"/>
    </row>
    <row r="36" spans="1:60" ht="16.149999999999999" customHeight="1" thickTop="1">
      <c r="B36" s="93" t="s">
        <v>306</v>
      </c>
      <c r="C36" s="115">
        <f ca="1">SUM(C34:C35)</f>
        <v>7586628.4601687491</v>
      </c>
      <c r="D36" s="115">
        <f ca="1">SUM(D34:D35)</f>
        <v>632219.03834739584</v>
      </c>
      <c r="E36" s="116">
        <f ca="1">SUM(E34:E35)</f>
        <v>1</v>
      </c>
      <c r="F36" s="108"/>
      <c r="G36" s="373">
        <f t="shared" ca="1" si="10"/>
        <v>0</v>
      </c>
      <c r="H36" s="589">
        <v>0</v>
      </c>
      <c r="I36" s="590">
        <v>0</v>
      </c>
      <c r="J36" s="592">
        <v>0</v>
      </c>
      <c r="K36" s="125" t="s">
        <v>299</v>
      </c>
      <c r="L36" s="55">
        <v>4</v>
      </c>
      <c r="M36" s="126">
        <v>1.2</v>
      </c>
      <c r="N36" s="132">
        <f>N34</f>
        <v>650000</v>
      </c>
      <c r="O36" s="367" t="str">
        <f t="shared" ca="1" si="5"/>
        <v/>
      </c>
      <c r="P36" s="127"/>
      <c r="Q36" s="46"/>
      <c r="R36" s="27" t="s">
        <v>293</v>
      </c>
      <c r="S36" s="59">
        <f t="shared" ca="1" si="26"/>
        <v>30</v>
      </c>
      <c r="T36" s="661">
        <v>30</v>
      </c>
      <c r="U36" s="594"/>
      <c r="V36" s="595"/>
      <c r="W36" s="86"/>
      <c r="X36" s="133" t="s">
        <v>456</v>
      </c>
      <c r="AO36" s="114"/>
    </row>
    <row r="37" spans="1:60" ht="14.45" thickBot="1">
      <c r="B37" s="91"/>
      <c r="C37" s="115"/>
      <c r="D37" s="115"/>
      <c r="E37" s="116"/>
      <c r="F37" s="117"/>
      <c r="G37" s="374">
        <f t="shared" ca="1" si="10"/>
        <v>0</v>
      </c>
      <c r="H37" s="596">
        <v>0</v>
      </c>
      <c r="I37" s="597">
        <v>0</v>
      </c>
      <c r="J37" s="598">
        <v>0</v>
      </c>
      <c r="K37" s="407" t="s">
        <v>302</v>
      </c>
      <c r="L37" s="327">
        <v>4</v>
      </c>
      <c r="M37" s="327" t="s">
        <v>218</v>
      </c>
      <c r="N37" s="408">
        <f>N33</f>
        <v>650000</v>
      </c>
      <c r="O37" s="409" t="str">
        <f t="shared" ca="1" si="5"/>
        <v/>
      </c>
      <c r="P37" s="150"/>
      <c r="Q37" s="87"/>
      <c r="R37" s="11" t="s">
        <v>297</v>
      </c>
      <c r="S37" s="65">
        <f t="shared" ca="1" si="26"/>
        <v>1.2</v>
      </c>
      <c r="T37" s="662">
        <v>1.2</v>
      </c>
      <c r="U37" s="663"/>
      <c r="V37" s="664"/>
      <c r="X37" s="67" t="str">
        <f>R30</f>
        <v>Perm Senior Blanket Loan</v>
      </c>
      <c r="Y37" s="109"/>
      <c r="Z37" s="109">
        <f ca="1">IF(OR($S$35=$Z$4,$S$35=$AA$4,$S$35=$AB$4,$S$35=$AC$4,$S$35=$AD$4,$S$35=$AE$4,$S$35=$AF$4,$S$35=$AG$4,$S$35=$AH$4,$S$35=$AI$4,),$S$32*$C$39,MIN($T$40,$T$43))</f>
        <v>126571.38120497829</v>
      </c>
      <c r="AA37" s="109">
        <f ca="1">IF(OR($S$35=$AA$4,$S$35=$AB$4,$S$35=$AC$4,$S$35=$AD$4,$S$35=$AE$4,$S$35=$AF$4,$S$35=$AG$4,$S$35=$AH$4,$S$35=$AI$4,),$S$32*$C$39,MIN($T$40,$T$43))</f>
        <v>126571.38120497829</v>
      </c>
      <c r="AB37" s="109">
        <f ca="1">IF(OR($S$35=$AB$4,$S$35=$AC$4,$S$35=$AD$4,$S$35=$AE$4,$S$35=$AF$4,$S$35=$AG$4,$S$35=$AH$4,$S$35=$AI$4,),$S$32*$C$39,MIN($T$40,$T$43))</f>
        <v>126571.38120497829</v>
      </c>
      <c r="AC37" s="109">
        <f ca="1">IF(OR($S$35=$AC$4,$S$35=$AD$4,$S$35=$AE$4,$S$35=$AF$4,$S$35=$AG$4,$S$35=$AH$4,$S$35=$AI$4,),$S$32*$C$39,MIN($T$40,$T$43))</f>
        <v>126571.38120497829</v>
      </c>
      <c r="AD37" s="109">
        <f ca="1">IF(OR($S$35=$AD$4,$S$35=$AE$4,$S$35=$AF$4,$S$35=$AG$4,$S$35=$AH$4,$S$35=$AI$4,),$S$32*$C$39,MIN($T$40,$T$43))</f>
        <v>142892.73679256707</v>
      </c>
      <c r="AE37" s="109">
        <f ca="1">IF(OR($S$35=$AE$4,$S$35=$AF$4,$S$35=$AG$4,$S$35=$AH$4,$S$35=$AI$4,),$S$32*$C$39,MIN($T$40,$T$43))</f>
        <v>142892.73679256707</v>
      </c>
      <c r="AF37" s="109">
        <f ca="1">IF(OR($S$35=$AF$4,$S$35=$AG$4,$S$35=$AH$4,$S$35=$AI$4,),$S$32*$C$39,MIN($T$40,$T$43))</f>
        <v>142892.73679256707</v>
      </c>
      <c r="AG37" s="109">
        <f ca="1">IF(OR($S$35=$AG$4,$S$35=$AH$4,$S$35=$AI$4,),$S$32*$C$39,MIN($T$40,$T$43))</f>
        <v>142892.73679256707</v>
      </c>
      <c r="AH37" s="109">
        <f ca="1">IF(OR($S$35=$AH$4,$S$35=$AI$4,),$S$32*$C$39,MIN($T$40,$T$43))</f>
        <v>142892.73679256707</v>
      </c>
      <c r="AI37" s="109">
        <f ca="1">IF(OR($S$35=$AI$4,),$S$32*$C$39,MIN($T$40,$T$43))</f>
        <v>142892.73679256707</v>
      </c>
      <c r="AJ37" s="109">
        <f ca="1">MIN($T$40,$T$43)</f>
        <v>142892.73679256707</v>
      </c>
      <c r="AK37" s="109">
        <f t="shared" ref="AK37:AM37" ca="1" si="29">MIN($T$40,$T$43)</f>
        <v>142892.73679256707</v>
      </c>
      <c r="AL37" s="109">
        <f t="shared" ca="1" si="29"/>
        <v>142892.73679256707</v>
      </c>
      <c r="AM37" s="109">
        <f t="shared" ca="1" si="29"/>
        <v>142892.73679256707</v>
      </c>
      <c r="AN37" s="109">
        <f ca="1">MIN($T$40,$T$43)</f>
        <v>142892.73679256707</v>
      </c>
      <c r="AO37" s="114"/>
    </row>
    <row r="38" spans="1:60" ht="15.6">
      <c r="B38" s="458" t="s">
        <v>310</v>
      </c>
      <c r="C38" s="461" t="s">
        <v>250</v>
      </c>
      <c r="D38" s="459" t="s">
        <v>223</v>
      </c>
      <c r="E38" s="460" t="s">
        <v>251</v>
      </c>
      <c r="F38" s="117"/>
      <c r="G38" s="410">
        <f ca="1">SUM(G8:G37)</f>
        <v>12</v>
      </c>
      <c r="H38" s="415">
        <f>SUM(H8:H37)</f>
        <v>12</v>
      </c>
      <c r="I38" s="413">
        <f>SUM(I8:I37)</f>
        <v>0</v>
      </c>
      <c r="J38" s="414">
        <f>SUM(J8:J37)</f>
        <v>0</v>
      </c>
      <c r="K38" s="411"/>
      <c r="L38" s="267"/>
      <c r="M38" s="412" t="s">
        <v>307</v>
      </c>
      <c r="N38" s="405">
        <f ca="1">SUMPRODUCT($G$8:$G$37,N8:N37)</f>
        <v>4780000</v>
      </c>
      <c r="O38" s="405">
        <f ca="1">SUMPRODUCT($G$8:$G$37,O8:O37)</f>
        <v>25256</v>
      </c>
      <c r="Q38" s="166"/>
      <c r="R38" s="66"/>
      <c r="S38" s="61"/>
      <c r="T38" s="192"/>
      <c r="U38" s="192"/>
      <c r="V38" s="193"/>
      <c r="X38" s="148" t="s">
        <v>300</v>
      </c>
      <c r="Y38" s="149"/>
      <c r="Z38" s="149">
        <f t="shared" ref="Z38:AN38" ca="1" si="30">Z24/Z37</f>
        <v>0.61334671440676858</v>
      </c>
      <c r="AA38" s="149">
        <f t="shared" ca="1" si="30"/>
        <v>0.63174711583897158</v>
      </c>
      <c r="AB38" s="149">
        <f t="shared" ca="1" si="30"/>
        <v>1.2769721672940306</v>
      </c>
      <c r="AC38" s="149">
        <f t="shared" ca="1" si="30"/>
        <v>1.3152813323128512</v>
      </c>
      <c r="AD38" s="149">
        <f t="shared" ca="1" si="30"/>
        <v>1.2</v>
      </c>
      <c r="AE38" s="149">
        <f t="shared" ca="1" si="30"/>
        <v>1.2359999999999998</v>
      </c>
      <c r="AF38" s="149">
        <f t="shared" ca="1" si="30"/>
        <v>1.27308</v>
      </c>
      <c r="AG38" s="149">
        <f t="shared" ca="1" si="30"/>
        <v>1.3112724</v>
      </c>
      <c r="AH38" s="149">
        <f t="shared" ca="1" si="30"/>
        <v>1.3506105719999997</v>
      </c>
      <c r="AI38" s="149">
        <f t="shared" ca="1" si="30"/>
        <v>1.3911288891599998</v>
      </c>
      <c r="AJ38" s="149">
        <f t="shared" ca="1" si="30"/>
        <v>1.4328627558347999</v>
      </c>
      <c r="AK38" s="149">
        <f t="shared" ca="1" si="30"/>
        <v>1.4758486385098444</v>
      </c>
      <c r="AL38" s="149">
        <f t="shared" ca="1" si="30"/>
        <v>1.5201240976651393</v>
      </c>
      <c r="AM38" s="149">
        <f t="shared" ca="1" si="30"/>
        <v>1.5657278205950933</v>
      </c>
      <c r="AN38" s="149">
        <f t="shared" ca="1" si="30"/>
        <v>1.6126996552129464</v>
      </c>
      <c r="AO38" s="114"/>
    </row>
    <row r="39" spans="1:60">
      <c r="B39" s="96" t="str">
        <f>R30</f>
        <v>Perm Senior Blanket Loan</v>
      </c>
      <c r="C39" s="858">
        <f ca="1">MIN(S40,S43)</f>
        <v>1687618.4160663772</v>
      </c>
      <c r="D39" s="145">
        <f ca="1">IF($G$38&gt;0,C39/$G$38,0)</f>
        <v>140634.86800553143</v>
      </c>
      <c r="E39" s="146">
        <f ca="1">C39/$C$44</f>
        <v>0.94405964992235414</v>
      </c>
      <c r="F39" s="117"/>
      <c r="J39" s="151"/>
      <c r="K39" s="151"/>
      <c r="Q39" s="47"/>
      <c r="R39" s="67"/>
      <c r="S39" s="82" t="s">
        <v>303</v>
      </c>
      <c r="T39" s="83" t="s">
        <v>457</v>
      </c>
      <c r="U39" s="195"/>
      <c r="V39" s="196"/>
      <c r="X39" s="67"/>
      <c r="AO39" s="114"/>
    </row>
    <row r="40" spans="1:60" ht="15" thickBot="1">
      <c r="B40" s="97" t="str">
        <f>R59</f>
        <v>Subordinate Loan #2 (Perm Only)</v>
      </c>
      <c r="C40" s="160">
        <f ca="1">S60</f>
        <v>100000</v>
      </c>
      <c r="D40" s="115">
        <f t="shared" ref="D40:D42" ca="1" si="31">IF($G$38&gt;0,C40/$G$38,0)</f>
        <v>8333.3333333333339</v>
      </c>
      <c r="E40" s="116">
        <f ca="1">C40/$C$44</f>
        <v>5.5940350077645896E-2</v>
      </c>
      <c r="F40" s="117"/>
      <c r="J40" s="151"/>
      <c r="K40" s="151"/>
      <c r="Q40" s="48"/>
      <c r="R40" s="27" t="s">
        <v>308</v>
      </c>
      <c r="S40" s="30">
        <f ca="1">S31*N38</f>
        <v>3585000</v>
      </c>
      <c r="T40" s="199">
        <f ca="1">PMT($S$32,$S$36,-S40,0)</f>
        <v>303546.38022698869</v>
      </c>
      <c r="U40" s="60"/>
      <c r="V40" s="26"/>
      <c r="X40" s="143" t="s">
        <v>305</v>
      </c>
      <c r="Y40" s="144"/>
      <c r="Z40" s="144">
        <f ca="1">Z33-Z37</f>
        <v>4464.9922293402924</v>
      </c>
      <c r="AA40" s="144">
        <f t="shared" ref="AA40:AN40" ca="1" si="32">AA33-AA37</f>
        <v>4464.9922293402924</v>
      </c>
      <c r="AB40" s="144">
        <f t="shared" ca="1" si="32"/>
        <v>35056.749769741771</v>
      </c>
      <c r="AC40" s="144">
        <f t="shared" ca="1" si="32"/>
        <v>39905.593698983328</v>
      </c>
      <c r="AD40" s="144">
        <f t="shared" ca="1" si="32"/>
        <v>428578.54735851346</v>
      </c>
      <c r="AE40" s="144">
        <f t="shared" ca="1" si="32"/>
        <v>133722.68588304578</v>
      </c>
      <c r="AF40" s="144">
        <f t="shared" ca="1" si="32"/>
        <v>139021.14856331423</v>
      </c>
      <c r="AG40" s="144">
        <f t="shared" ca="1" si="32"/>
        <v>144478.56512399064</v>
      </c>
      <c r="AH40" s="144">
        <f t="shared" ca="1" si="32"/>
        <v>150099.70418148732</v>
      </c>
      <c r="AI40" s="144">
        <f t="shared" ca="1" si="32"/>
        <v>155889.47741070902</v>
      </c>
      <c r="AJ40" s="144">
        <f t="shared" ca="1" si="32"/>
        <v>161852.94383680727</v>
      </c>
      <c r="AK40" s="144">
        <f t="shared" ca="1" si="32"/>
        <v>167995.31425568857</v>
      </c>
      <c r="AL40" s="144">
        <f t="shared" ca="1" si="32"/>
        <v>174321.95578713622</v>
      </c>
      <c r="AM40" s="144">
        <f t="shared" ca="1" si="32"/>
        <v>180838.3965645273</v>
      </c>
      <c r="AN40" s="144">
        <f t="shared" ca="1" si="32"/>
        <v>187550.33056524012</v>
      </c>
      <c r="AO40" s="114"/>
    </row>
    <row r="41" spans="1:60" ht="15" thickTop="1">
      <c r="B41" s="97" t="s">
        <v>314</v>
      </c>
      <c r="C41" s="160">
        <f ca="1">IF(S74=1,S73,0)</f>
        <v>0</v>
      </c>
      <c r="D41" s="115">
        <f t="shared" ca="1" si="31"/>
        <v>0</v>
      </c>
      <c r="E41" s="116">
        <f ca="1">C41/$C$44</f>
        <v>0</v>
      </c>
      <c r="F41" s="117"/>
      <c r="J41" s="151"/>
      <c r="K41" s="151"/>
      <c r="Q41" s="48"/>
      <c r="R41" s="27"/>
      <c r="S41" s="30"/>
      <c r="T41" s="199"/>
      <c r="U41" s="60"/>
      <c r="V41" s="26"/>
      <c r="X41" s="67"/>
      <c r="AO41" s="114"/>
    </row>
    <row r="42" spans="1:60" ht="14.45">
      <c r="B42" s="67" t="s">
        <v>316</v>
      </c>
      <c r="C42" s="109">
        <f ca="1">IF(S79=1,S78,0)</f>
        <v>0</v>
      </c>
      <c r="D42" s="115">
        <f t="shared" ca="1" si="31"/>
        <v>0</v>
      </c>
      <c r="E42" s="116">
        <f ca="1">C42/$C$44</f>
        <v>0</v>
      </c>
      <c r="F42" s="117"/>
      <c r="J42" s="151"/>
      <c r="K42" s="151"/>
      <c r="Q42" s="48"/>
      <c r="R42" s="27"/>
      <c r="S42" s="30"/>
      <c r="T42" s="199"/>
      <c r="U42" s="60"/>
      <c r="V42" s="26"/>
      <c r="X42" s="67" t="str">
        <f>R47</f>
        <v>Subordinate Loan #1 (IO-&gt;P&amp;I)</v>
      </c>
      <c r="Y42" s="109"/>
      <c r="Z42" s="109">
        <f ca="1">IF(OR($S$52=$Z$4,$S$52=$AA$4,$S$52=$AB$4,$S$52=$AC$4,$S$52=$AD$4,$S$52=$AE$4,$S$52=$AF$4,$S$52=$AG$4,$S$52=$AH$4,$S$52=$AI$4),$S$49*$S$48,$S$55)</f>
        <v>0</v>
      </c>
      <c r="AA42" s="109">
        <f ca="1">IF(OR($S$52=$AA$4,$S$52=$AB$4,$S$52=$AC$4,$S$52=$AD$4,$S$52=$AE$4,$S$52=$AF$4,$S$52=$AG$4,$S$52=$AH$4,$S$52=$AI$4),$S$49*$S$48,$S$55)</f>
        <v>0</v>
      </c>
      <c r="AB42" s="109">
        <f ca="1">IF(OR($S$52=$AB$4,$S$52=$AC$4,$S$52=$AD$4,$S$52=$AE$4,$S$52=$AF$4,$S$52=$AG$4,$S$52=$AH$4,$S$52=$AI$4),$S$49*$S$48,$S$55)</f>
        <v>0</v>
      </c>
      <c r="AC42" s="109">
        <f ca="1">IF(OR($S$52=$AC$4,$S$52=$AD$4,$S$52=$AE$4,$S$52=$AF$4,$S$52=$AG$4,$S$52=$AH$4,$S$52=$AI$4),$S$49*$S$48,$S$55)</f>
        <v>0</v>
      </c>
      <c r="AD42" s="109">
        <f ca="1">IF(OR($S$52=$AD$4,$S$52=$AE$4,$S$52=$AF$4,$S$52=$AG$4,$S$52=$AH$4,$S$52=$AI$4),$S$49*$S$48,$S$55)</f>
        <v>0</v>
      </c>
      <c r="AE42" s="109">
        <f ca="1">IF(OR($S$52=$AE$4,$S$52=$AF$4,$S$52=$AG$4,$S$52=$AH$4,$S$52=$AI$4),$S$49*$S$48,$S$55)</f>
        <v>0</v>
      </c>
      <c r="AF42" s="109">
        <f ca="1">IF(OR($S$52=$AF$4,$S$52=$AG$4,$S$52=$AH$4,$S$52=$AI$4),$S$49*$S$48,$S$55)</f>
        <v>0</v>
      </c>
      <c r="AG42" s="109">
        <f ca="1">IF(OR($S$52=$AG$4,$S$52=$AH$4,$S$52=$AI$4),$S$49*$S$48,$S$55)</f>
        <v>0</v>
      </c>
      <c r="AH42" s="109">
        <f ca="1">IF(OR($S$52=$AH$4,$S$52=$AI$4),$S$49*$S$48,$S$55)</f>
        <v>0</v>
      </c>
      <c r="AI42" s="109">
        <f ca="1">IF($S$52=$AI$4,$S$49*$S$48,$S$55)</f>
        <v>0</v>
      </c>
      <c r="AJ42" s="109">
        <f ca="1">$S$55</f>
        <v>0</v>
      </c>
      <c r="AK42" s="109">
        <f t="shared" ref="AK42:AN42" ca="1" si="33">$S$55</f>
        <v>0</v>
      </c>
      <c r="AL42" s="109">
        <f t="shared" ca="1" si="33"/>
        <v>0</v>
      </c>
      <c r="AM42" s="109">
        <f t="shared" ca="1" si="33"/>
        <v>0</v>
      </c>
      <c r="AN42" s="109">
        <f t="shared" ca="1" si="33"/>
        <v>0</v>
      </c>
      <c r="AO42" s="114"/>
    </row>
    <row r="43" spans="1:60" ht="14.45" thickBot="1">
      <c r="B43" s="523" t="str">
        <f>R82</f>
        <v>LEHC Member Share Purchase</v>
      </c>
      <c r="C43" s="859">
        <f ca="1">D43*G38</f>
        <v>0</v>
      </c>
      <c r="D43" s="123">
        <f ca="1">IF($G$38&gt;0,S83,0)</f>
        <v>0</v>
      </c>
      <c r="E43" s="124">
        <f ca="1">C43/$C$44</f>
        <v>0</v>
      </c>
      <c r="F43" s="117"/>
      <c r="J43" s="151"/>
      <c r="K43" s="151"/>
      <c r="Q43" s="49"/>
      <c r="R43" s="62" t="s">
        <v>309</v>
      </c>
      <c r="S43" s="63">
        <f ca="1">PV(S32,S36,-_xlfn.XLOOKUP(S35+1,Z4:AI4,Z24:AI24)/S37,0)</f>
        <v>1687618.4160663772</v>
      </c>
      <c r="T43" s="201">
        <f ca="1">PMT($S$32,$S$36,-S43,0)</f>
        <v>142892.73679256707</v>
      </c>
      <c r="U43" s="170"/>
      <c r="V43" s="171"/>
      <c r="X43" s="67"/>
      <c r="AO43" s="114"/>
    </row>
    <row r="44" spans="1:60" ht="16.149999999999999" thickTop="1">
      <c r="B44" s="93" t="s">
        <v>320</v>
      </c>
      <c r="C44" s="135">
        <f ca="1">SUM(C39:C43)</f>
        <v>1787618.4160663772</v>
      </c>
      <c r="D44" s="135">
        <f ca="1">SUM(D39:D43)</f>
        <v>148968.20133886478</v>
      </c>
      <c r="E44" s="116">
        <f ca="1">SUM(E39:E43)</f>
        <v>1</v>
      </c>
      <c r="F44" s="117"/>
      <c r="G44" s="86"/>
      <c r="H44" s="152"/>
      <c r="I44" s="152"/>
      <c r="J44" s="153"/>
      <c r="K44" s="153"/>
      <c r="L44" s="86"/>
      <c r="M44" s="86"/>
      <c r="N44" s="86"/>
      <c r="O44" s="86"/>
      <c r="P44" s="86"/>
      <c r="Q44" s="180"/>
      <c r="R44" s="84"/>
      <c r="S44" s="85"/>
      <c r="T44" s="199"/>
      <c r="V44" s="114"/>
      <c r="X44" s="67" t="str">
        <f>R59</f>
        <v>Subordinate Loan #2 (Perm Only)</v>
      </c>
      <c r="Y44" s="109"/>
      <c r="Z44" s="109">
        <f ca="1">IF(OR($S$64=$Z$4,$S$64=$AA$4,$S$64=$AB$4),$S$61*$S$60,$S$66)</f>
        <v>4464.992229340296</v>
      </c>
      <c r="AA44" s="109">
        <f ca="1">IF(OR($S$64=$AA$4,$S$64=$AB$4),$S$61*$S$60,$S$66)</f>
        <v>4464.992229340296</v>
      </c>
      <c r="AB44" s="109">
        <f ca="1">IF(OR($S$64=$AB$4),$S$61*$S$60,$S$66)</f>
        <v>4464.992229340296</v>
      </c>
      <c r="AC44" s="109">
        <f t="shared" ref="AC44:AN44" ca="1" si="34">$S$66</f>
        <v>4464.992229340296</v>
      </c>
      <c r="AD44" s="109">
        <f t="shared" ca="1" si="34"/>
        <v>4464.992229340296</v>
      </c>
      <c r="AE44" s="109">
        <f t="shared" ca="1" si="34"/>
        <v>4464.992229340296</v>
      </c>
      <c r="AF44" s="109">
        <f t="shared" ca="1" si="34"/>
        <v>4464.992229340296</v>
      </c>
      <c r="AG44" s="109">
        <f t="shared" ca="1" si="34"/>
        <v>4464.992229340296</v>
      </c>
      <c r="AH44" s="109">
        <f t="shared" ca="1" si="34"/>
        <v>4464.992229340296</v>
      </c>
      <c r="AI44" s="109">
        <f t="shared" ca="1" si="34"/>
        <v>4464.992229340296</v>
      </c>
      <c r="AJ44" s="109">
        <f t="shared" ca="1" si="34"/>
        <v>4464.992229340296</v>
      </c>
      <c r="AK44" s="109">
        <f t="shared" ca="1" si="34"/>
        <v>4464.992229340296</v>
      </c>
      <c r="AL44" s="109">
        <f t="shared" ca="1" si="34"/>
        <v>4464.992229340296</v>
      </c>
      <c r="AM44" s="109">
        <f t="shared" ca="1" si="34"/>
        <v>4464.992229340296</v>
      </c>
      <c r="AN44" s="109">
        <f t="shared" ca="1" si="34"/>
        <v>4464.992229340296</v>
      </c>
      <c r="AO44" s="114"/>
      <c r="BC44" s="86"/>
      <c r="BD44" s="86"/>
      <c r="BE44" s="86"/>
      <c r="BF44" s="86"/>
    </row>
    <row r="45" spans="1:60" ht="15">
      <c r="B45" s="94"/>
      <c r="C45" s="135"/>
      <c r="D45" s="135"/>
      <c r="E45" s="116"/>
      <c r="F45" s="117"/>
      <c r="J45" s="151"/>
      <c r="K45" s="151"/>
      <c r="Q45" s="184"/>
      <c r="R45" s="84" t="s">
        <v>311</v>
      </c>
      <c r="S45" s="365">
        <f ca="1">C39/N38</f>
        <v>0.35305824603899105</v>
      </c>
      <c r="T45" s="199"/>
      <c r="V45" s="114"/>
      <c r="X45" s="148" t="s">
        <v>313</v>
      </c>
      <c r="Y45" s="149"/>
      <c r="Z45" s="149">
        <f t="shared" ref="Z45:AN45" ca="1" si="35">Z24/(Z37+Z42+Z44)</f>
        <v>0.59244726304114959</v>
      </c>
      <c r="AA45" s="149">
        <f t="shared" ca="1" si="35"/>
        <v>0.61022068093238413</v>
      </c>
      <c r="AB45" s="149">
        <f t="shared" ca="1" si="35"/>
        <v>1.2334600442505033</v>
      </c>
      <c r="AC45" s="149">
        <f t="shared" ca="1" si="35"/>
        <v>1.2704638455780179</v>
      </c>
      <c r="AD45" s="149">
        <f t="shared" ca="1" si="35"/>
        <v>1.1636395680717107</v>
      </c>
      <c r="AE45" s="149">
        <f t="shared" ca="1" si="35"/>
        <v>1.1985487551138618</v>
      </c>
      <c r="AF45" s="149">
        <f t="shared" ca="1" si="35"/>
        <v>1.2345052177672777</v>
      </c>
      <c r="AG45" s="149">
        <f t="shared" ca="1" si="35"/>
        <v>1.2715403743002962</v>
      </c>
      <c r="AH45" s="149">
        <f t="shared" ca="1" si="35"/>
        <v>1.3096865855293049</v>
      </c>
      <c r="AI45" s="149">
        <f t="shared" ca="1" si="35"/>
        <v>1.348977183095184</v>
      </c>
      <c r="AJ45" s="149">
        <f t="shared" ca="1" si="35"/>
        <v>1.3894464985880397</v>
      </c>
      <c r="AK45" s="149">
        <f t="shared" ca="1" si="35"/>
        <v>1.4311298935456811</v>
      </c>
      <c r="AL45" s="149">
        <f t="shared" ca="1" si="35"/>
        <v>1.4740637903520515</v>
      </c>
      <c r="AM45" s="149">
        <f t="shared" ca="1" si="35"/>
        <v>1.5182857040626128</v>
      </c>
      <c r="AN45" s="149">
        <f t="shared" ca="1" si="35"/>
        <v>1.5638342751844914</v>
      </c>
      <c r="AO45" s="114"/>
      <c r="AP45" s="86"/>
      <c r="AQ45" s="86"/>
      <c r="AR45" s="86"/>
      <c r="AS45" s="86"/>
      <c r="AT45" s="86"/>
      <c r="AU45" s="86"/>
      <c r="AV45" s="86"/>
      <c r="AW45" s="86"/>
      <c r="AX45" s="86"/>
      <c r="AY45" s="86"/>
      <c r="AZ45" s="86"/>
      <c r="BA45" s="86"/>
      <c r="BB45" s="86"/>
    </row>
    <row r="46" spans="1:60" ht="14.65" customHeight="1" thickBot="1">
      <c r="B46" s="95" t="s">
        <v>328</v>
      </c>
      <c r="C46" s="139">
        <f ca="1">C44-C36</f>
        <v>-5799010.0441023717</v>
      </c>
      <c r="D46" s="139">
        <f ca="1">D44-D36</f>
        <v>-483250.83700853109</v>
      </c>
      <c r="E46" s="162"/>
      <c r="F46" s="117"/>
      <c r="J46" s="151"/>
      <c r="K46" s="151"/>
      <c r="Q46" s="186"/>
      <c r="R46" s="67"/>
      <c r="S46" s="55"/>
      <c r="T46" s="51"/>
      <c r="V46" s="114"/>
      <c r="X46" s="161"/>
      <c r="Y46" s="86"/>
      <c r="Z46" s="86"/>
      <c r="AA46" s="86"/>
      <c r="AB46" s="86"/>
      <c r="AC46" s="86"/>
      <c r="AD46" s="86"/>
      <c r="AE46" s="86"/>
      <c r="AF46" s="86"/>
      <c r="AG46" s="86"/>
      <c r="AH46" s="86"/>
      <c r="AI46" s="86"/>
      <c r="AJ46" s="86"/>
      <c r="AK46" s="86"/>
      <c r="AL46" s="86"/>
      <c r="AM46" s="86"/>
      <c r="AN46" s="86"/>
      <c r="AO46" s="138"/>
    </row>
    <row r="47" spans="1:60" ht="16.149999999999999" thickTop="1" thickBot="1">
      <c r="B47" s="98"/>
      <c r="C47" s="168"/>
      <c r="D47" s="168"/>
      <c r="E47" s="169"/>
      <c r="F47" s="117"/>
      <c r="G47" s="86"/>
      <c r="H47" s="152"/>
      <c r="I47" s="152"/>
      <c r="J47" s="153"/>
      <c r="K47" s="153"/>
      <c r="L47" s="86"/>
      <c r="M47" s="86"/>
      <c r="N47" s="86"/>
      <c r="O47" s="86"/>
      <c r="P47" s="86"/>
      <c r="Q47" s="191"/>
      <c r="R47" s="54" t="str">
        <f>L58</f>
        <v>Subordinate Loan #1 (IO-&gt;P&amp;I)</v>
      </c>
      <c r="S47" s="89"/>
      <c r="T47" s="528"/>
      <c r="U47" s="531"/>
      <c r="V47" s="530"/>
      <c r="X47" s="143" t="s">
        <v>343</v>
      </c>
      <c r="Y47" s="144"/>
      <c r="Z47" s="144">
        <f t="shared" ref="Z47:AN47" ca="1" si="36">Z40-Z42-Z44</f>
        <v>0</v>
      </c>
      <c r="AA47" s="144">
        <f t="shared" ca="1" si="36"/>
        <v>0</v>
      </c>
      <c r="AB47" s="144">
        <f t="shared" ca="1" si="36"/>
        <v>30591.757540401475</v>
      </c>
      <c r="AC47" s="144">
        <f t="shared" ca="1" si="36"/>
        <v>35440.601469643036</v>
      </c>
      <c r="AD47" s="144">
        <f t="shared" ca="1" si="36"/>
        <v>424113.55512917315</v>
      </c>
      <c r="AE47" s="144">
        <f t="shared" ca="1" si="36"/>
        <v>129257.69365370549</v>
      </c>
      <c r="AF47" s="144">
        <f t="shared" ca="1" si="36"/>
        <v>134556.15633397392</v>
      </c>
      <c r="AG47" s="144">
        <f t="shared" ca="1" si="36"/>
        <v>140013.57289465034</v>
      </c>
      <c r="AH47" s="144">
        <f t="shared" ca="1" si="36"/>
        <v>145634.71195214702</v>
      </c>
      <c r="AI47" s="144">
        <f t="shared" ca="1" si="36"/>
        <v>151424.48518136871</v>
      </c>
      <c r="AJ47" s="144">
        <f t="shared" ca="1" si="36"/>
        <v>157387.95160746697</v>
      </c>
      <c r="AK47" s="144">
        <f t="shared" ca="1" si="36"/>
        <v>163530.32202634827</v>
      </c>
      <c r="AL47" s="144">
        <f t="shared" ca="1" si="36"/>
        <v>169856.96355779591</v>
      </c>
      <c r="AM47" s="144">
        <f t="shared" ca="1" si="36"/>
        <v>176373.40433518699</v>
      </c>
      <c r="AN47" s="144">
        <f t="shared" ca="1" si="36"/>
        <v>183085.33833589981</v>
      </c>
      <c r="AO47" s="114"/>
    </row>
    <row r="48" spans="1:60" ht="18" thickTop="1">
      <c r="E48" s="102"/>
      <c r="F48" s="117"/>
      <c r="G48" s="442" t="s">
        <v>321</v>
      </c>
      <c r="H48" s="443"/>
      <c r="I48" s="444" t="s">
        <v>322</v>
      </c>
      <c r="J48" s="445" t="s">
        <v>323</v>
      </c>
      <c r="K48" s="154"/>
      <c r="L48" s="442" t="s">
        <v>312</v>
      </c>
      <c r="M48" s="446"/>
      <c r="N48" s="446"/>
      <c r="O48" s="32" t="s">
        <v>171</v>
      </c>
      <c r="P48" s="674">
        <v>1</v>
      </c>
      <c r="Q48" s="191"/>
      <c r="R48" s="11" t="s">
        <v>222</v>
      </c>
      <c r="S48" s="24">
        <f ca="1">IF(C35&gt;0,0,C23)</f>
        <v>0</v>
      </c>
      <c r="T48" s="51" t="s">
        <v>319</v>
      </c>
      <c r="U48" s="532"/>
      <c r="V48" s="114"/>
      <c r="X48" s="133"/>
      <c r="Y48" s="134"/>
      <c r="Z48" s="134"/>
      <c r="AA48" s="134"/>
      <c r="AB48" s="134"/>
      <c r="AC48" s="134"/>
      <c r="AD48" s="134"/>
      <c r="AE48" s="134"/>
      <c r="AF48" s="134"/>
      <c r="AG48" s="134"/>
      <c r="AH48" s="134"/>
      <c r="AI48" s="134"/>
      <c r="AJ48" s="134"/>
      <c r="AK48" s="134"/>
      <c r="AL48" s="134"/>
      <c r="AM48" s="134"/>
      <c r="AN48" s="134"/>
      <c r="AO48" s="114"/>
    </row>
    <row r="49" spans="2:41" ht="14.45" thickBot="1">
      <c r="B49" s="471" t="s">
        <v>458</v>
      </c>
      <c r="C49" s="472">
        <f ca="1">S84*G38</f>
        <v>480000</v>
      </c>
      <c r="D49" s="472">
        <f ca="1">IF(G38&gt;0,C49/G38,0)</f>
        <v>40000</v>
      </c>
      <c r="E49" s="107"/>
      <c r="F49" s="117"/>
      <c r="G49" s="52" t="s">
        <v>459</v>
      </c>
      <c r="H49" s="156"/>
      <c r="I49" s="157"/>
      <c r="J49" s="158"/>
      <c r="K49" s="157"/>
      <c r="L49" s="53"/>
      <c r="M49" s="506" t="s">
        <v>181</v>
      </c>
      <c r="N49" s="17">
        <v>1</v>
      </c>
      <c r="O49" s="16">
        <v>2</v>
      </c>
      <c r="P49" s="18">
        <v>3</v>
      </c>
      <c r="Q49" s="191"/>
      <c r="R49" s="12" t="s">
        <v>280</v>
      </c>
      <c r="S49" s="29">
        <f ca="1">M60</f>
        <v>3.5000000000000003E-2</v>
      </c>
      <c r="T49" s="51" t="s">
        <v>319</v>
      </c>
      <c r="U49" s="533"/>
      <c r="V49" s="212"/>
      <c r="W49" s="34"/>
      <c r="X49" s="816" t="s">
        <v>348</v>
      </c>
      <c r="Y49" s="109"/>
      <c r="Z49" s="109"/>
      <c r="AA49" s="109"/>
      <c r="AB49" s="109"/>
      <c r="AC49" s="109"/>
      <c r="AD49" s="109"/>
      <c r="AE49" s="109"/>
      <c r="AF49" s="109"/>
      <c r="AG49" s="109"/>
      <c r="AH49" s="109"/>
      <c r="AI49" s="109"/>
      <c r="AJ49" s="109"/>
      <c r="AK49" s="109"/>
      <c r="AL49" s="109"/>
      <c r="AM49" s="109"/>
      <c r="AN49" s="109"/>
      <c r="AO49" s="114"/>
    </row>
    <row r="50" spans="2:41" ht="14.45" thickBot="1">
      <c r="B50" s="467" t="s">
        <v>337</v>
      </c>
      <c r="C50" s="468">
        <f ca="1">IF(C31+C46&lt;0,-SUM(C31,C46),0)</f>
        <v>1844552.864158622</v>
      </c>
      <c r="D50" s="468">
        <f ca="1">IF(G38&gt;0,C50/G38,0)</f>
        <v>153712.73867988517</v>
      </c>
      <c r="E50" s="469"/>
      <c r="F50" s="117"/>
      <c r="G50" s="28" t="s">
        <v>329</v>
      </c>
      <c r="H50" s="79"/>
      <c r="I50" s="603">
        <v>7408000</v>
      </c>
      <c r="J50" s="159">
        <f ca="1">I50/$G$38</f>
        <v>617333.33333333337</v>
      </c>
      <c r="K50" s="160"/>
      <c r="L50" s="53"/>
      <c r="M50" s="504" t="s">
        <v>186</v>
      </c>
      <c r="N50" s="600" t="s">
        <v>270</v>
      </c>
      <c r="O50" s="601" t="s">
        <v>460</v>
      </c>
      <c r="P50" s="614"/>
      <c r="Q50" s="182"/>
      <c r="R50" s="27" t="s">
        <v>284</v>
      </c>
      <c r="S50" s="29" t="s">
        <v>326</v>
      </c>
      <c r="T50" s="51" t="s">
        <v>319</v>
      </c>
      <c r="U50" s="533"/>
      <c r="V50" s="212"/>
      <c r="W50" s="34"/>
      <c r="X50" s="67" t="s">
        <v>353</v>
      </c>
      <c r="Y50" s="134"/>
      <c r="Z50" s="109">
        <f ca="1">IF(Z47&lt;=0,0,MIN(Z47,Z64))</f>
        <v>0</v>
      </c>
      <c r="AA50" s="109">
        <f t="shared" ref="AA50:AN50" ca="1" si="37">IF(AA47&lt;=0,0,MIN(AA47,AA64))</f>
        <v>0</v>
      </c>
      <c r="AB50" s="109">
        <f t="shared" ca="1" si="37"/>
        <v>30591.757540401475</v>
      </c>
      <c r="AC50" s="109">
        <f t="shared" ca="1" si="37"/>
        <v>35440.601469643036</v>
      </c>
      <c r="AD50" s="109">
        <f t="shared" ca="1" si="37"/>
        <v>91468.669851059123</v>
      </c>
      <c r="AE50" s="109">
        <f t="shared" ca="1" si="37"/>
        <v>0</v>
      </c>
      <c r="AF50" s="109">
        <f t="shared" ca="1" si="37"/>
        <v>0</v>
      </c>
      <c r="AG50" s="109">
        <f t="shared" ca="1" si="37"/>
        <v>0</v>
      </c>
      <c r="AH50" s="109">
        <f t="shared" ca="1" si="37"/>
        <v>0</v>
      </c>
      <c r="AI50" s="109">
        <f t="shared" ca="1" si="37"/>
        <v>0</v>
      </c>
      <c r="AJ50" s="109">
        <f t="shared" ca="1" si="37"/>
        <v>0</v>
      </c>
      <c r="AK50" s="109">
        <f t="shared" ca="1" si="37"/>
        <v>0</v>
      </c>
      <c r="AL50" s="109">
        <f t="shared" ca="1" si="37"/>
        <v>0</v>
      </c>
      <c r="AM50" s="109">
        <f t="shared" ca="1" si="37"/>
        <v>0</v>
      </c>
      <c r="AN50" s="109">
        <f t="shared" ca="1" si="37"/>
        <v>0</v>
      </c>
      <c r="AO50" s="114"/>
    </row>
    <row r="51" spans="2:41" ht="28.15" thickBot="1">
      <c r="B51" s="467" t="s">
        <v>339</v>
      </c>
      <c r="C51" s="468">
        <f ca="1">SUM(C26:C28,C50)</f>
        <v>7844552.864158622</v>
      </c>
      <c r="D51" s="468">
        <f ca="1">IF(G38&gt;0,C51/G38,0)</f>
        <v>653712.73867988517</v>
      </c>
      <c r="E51" s="782"/>
      <c r="F51" s="117"/>
      <c r="G51" s="28" t="s">
        <v>461</v>
      </c>
      <c r="H51" s="176"/>
      <c r="I51" s="670">
        <v>0</v>
      </c>
      <c r="J51" s="159">
        <f ca="1">I51/$G$38</f>
        <v>0</v>
      </c>
      <c r="K51" s="160"/>
      <c r="L51" s="54" t="s">
        <v>324</v>
      </c>
      <c r="M51" s="163"/>
      <c r="N51" s="164"/>
      <c r="O51" s="164"/>
      <c r="P51" s="165"/>
      <c r="Q51" s="200"/>
      <c r="R51" s="12" t="s">
        <v>330</v>
      </c>
      <c r="S51" s="59">
        <f ca="1">M61-M54</f>
        <v>0</v>
      </c>
      <c r="T51" s="51" t="s">
        <v>319</v>
      </c>
      <c r="U51" s="534"/>
      <c r="V51" s="534"/>
      <c r="W51" s="34"/>
      <c r="X51" s="143" t="s">
        <v>356</v>
      </c>
      <c r="Y51" s="144"/>
      <c r="Z51" s="144">
        <f ca="1">Z47-Z50</f>
        <v>0</v>
      </c>
      <c r="AA51" s="144">
        <f t="shared" ref="AA51:AN51" ca="1" si="38">AA47-AA50</f>
        <v>0</v>
      </c>
      <c r="AB51" s="144">
        <f t="shared" ca="1" si="38"/>
        <v>0</v>
      </c>
      <c r="AC51" s="144">
        <f t="shared" ca="1" si="38"/>
        <v>0</v>
      </c>
      <c r="AD51" s="144">
        <f t="shared" ca="1" si="38"/>
        <v>332644.885278114</v>
      </c>
      <c r="AE51" s="144">
        <f t="shared" ca="1" si="38"/>
        <v>129257.69365370549</v>
      </c>
      <c r="AF51" s="144">
        <f t="shared" ca="1" si="38"/>
        <v>134556.15633397392</v>
      </c>
      <c r="AG51" s="144">
        <f t="shared" ca="1" si="38"/>
        <v>140013.57289465034</v>
      </c>
      <c r="AH51" s="144">
        <f t="shared" ca="1" si="38"/>
        <v>145634.71195214702</v>
      </c>
      <c r="AI51" s="144">
        <f t="shared" ca="1" si="38"/>
        <v>151424.48518136871</v>
      </c>
      <c r="AJ51" s="144">
        <f t="shared" ca="1" si="38"/>
        <v>157387.95160746697</v>
      </c>
      <c r="AK51" s="144">
        <f t="shared" ca="1" si="38"/>
        <v>163530.32202634827</v>
      </c>
      <c r="AL51" s="144">
        <f t="shared" ca="1" si="38"/>
        <v>169856.96355779591</v>
      </c>
      <c r="AM51" s="144">
        <f t="shared" ca="1" si="38"/>
        <v>176373.40433518699</v>
      </c>
      <c r="AN51" s="144">
        <f t="shared" ca="1" si="38"/>
        <v>183085.33833589981</v>
      </c>
      <c r="AO51" s="114"/>
    </row>
    <row r="52" spans="2:41" ht="14.65" customHeight="1">
      <c r="E52"/>
      <c r="F52"/>
      <c r="G52" s="54" t="s">
        <v>334</v>
      </c>
      <c r="H52" s="305"/>
      <c r="I52" s="306">
        <f>SUM(I50:I51)</f>
        <v>7408000</v>
      </c>
      <c r="J52" s="306">
        <f ca="1">SUM(J50:J51)</f>
        <v>617333.33333333337</v>
      </c>
      <c r="K52" s="160"/>
      <c r="L52" s="66" t="s">
        <v>325</v>
      </c>
      <c r="M52" s="74">
        <f ca="1">IF(ISBLANK(OFFSET(M52,0,$P$48)),$N52,OFFSET(M52,0,$P$48))</f>
        <v>0.75</v>
      </c>
      <c r="N52" s="615">
        <v>0.75</v>
      </c>
      <c r="O52" s="616">
        <v>0.15</v>
      </c>
      <c r="P52" s="617">
        <v>0.11883592351795505</v>
      </c>
      <c r="Q52" s="204"/>
      <c r="R52" s="27" t="s">
        <v>333</v>
      </c>
      <c r="S52" s="59">
        <f ca="1">IF(ISBLANK(OFFSET(S52,0,$T$27)),$T52,OFFSET(S52,0,$T$27))</f>
        <v>4</v>
      </c>
      <c r="T52" s="862">
        <v>4</v>
      </c>
      <c r="U52" s="852"/>
      <c r="V52" s="852"/>
      <c r="W52" s="34"/>
      <c r="X52" s="133"/>
      <c r="Y52" s="134"/>
      <c r="Z52" s="134"/>
      <c r="AA52" s="134"/>
      <c r="AB52" s="134"/>
      <c r="AC52" s="134"/>
      <c r="AD52" s="134"/>
      <c r="AE52" s="134"/>
      <c r="AF52" s="134"/>
      <c r="AG52" s="134"/>
      <c r="AH52" s="134"/>
      <c r="AI52" s="134"/>
      <c r="AJ52" s="134"/>
      <c r="AK52" s="134"/>
      <c r="AL52" s="134"/>
      <c r="AM52" s="134"/>
      <c r="AN52" s="134"/>
      <c r="AO52" s="114"/>
    </row>
    <row r="53" spans="2:41" ht="14.65" customHeight="1">
      <c r="E53"/>
      <c r="F53"/>
      <c r="G53" s="28"/>
      <c r="H53" s="79"/>
      <c r="I53" s="179"/>
      <c r="J53" s="159"/>
      <c r="K53" s="160"/>
      <c r="L53" s="12" t="s">
        <v>280</v>
      </c>
      <c r="M53" s="23">
        <f ca="1">IF(ISBLANK(OFFSET(M53,0,$P$48)),$N53,OFFSET(M53,0,$P$48))</f>
        <v>7.4999999999999997E-2</v>
      </c>
      <c r="N53" s="618">
        <v>7.4999999999999997E-2</v>
      </c>
      <c r="O53" s="619"/>
      <c r="P53" s="620"/>
      <c r="Q53" s="207"/>
      <c r="R53" s="27" t="s">
        <v>293</v>
      </c>
      <c r="S53" s="59">
        <f ca="1">S51-S52</f>
        <v>-4</v>
      </c>
      <c r="T53" s="860" t="s">
        <v>335</v>
      </c>
      <c r="U53" s="535" t="s">
        <v>335</v>
      </c>
      <c r="V53" s="535" t="s">
        <v>335</v>
      </c>
      <c r="W53" s="34"/>
      <c r="X53" s="133"/>
      <c r="Y53" s="134"/>
      <c r="Z53" s="134"/>
      <c r="AA53" s="134"/>
      <c r="AB53" s="134"/>
      <c r="AC53" s="134"/>
      <c r="AD53" s="134"/>
      <c r="AE53" s="134"/>
      <c r="AF53" s="134"/>
      <c r="AG53" s="134"/>
      <c r="AH53" s="134"/>
      <c r="AI53" s="134"/>
      <c r="AJ53" s="134"/>
      <c r="AK53" s="134"/>
      <c r="AL53" s="134"/>
      <c r="AM53" s="134"/>
      <c r="AN53" s="134"/>
      <c r="AO53" s="114"/>
    </row>
    <row r="54" spans="2:41" ht="30.4" customHeight="1">
      <c r="E54"/>
      <c r="G54" s="181" t="s">
        <v>448</v>
      </c>
      <c r="H54" s="176"/>
      <c r="I54" s="179"/>
      <c r="J54" s="159"/>
      <c r="K54" s="178"/>
      <c r="L54" s="12" t="s">
        <v>332</v>
      </c>
      <c r="M54" s="59">
        <f ca="1">IF(ISBLANK(OFFSET(M54,0,$P$48)),$N54,OFFSET(M54,0,$P$48))</f>
        <v>3</v>
      </c>
      <c r="N54" s="621">
        <v>3</v>
      </c>
      <c r="O54" s="622"/>
      <c r="P54" s="623"/>
      <c r="Q54" s="34"/>
      <c r="R54" s="27" t="s">
        <v>338</v>
      </c>
      <c r="S54" s="59">
        <f ca="1">IF(ISBLANK(OFFSET(S54,0,$T$27)),$T54,OFFSET(S54,0,$T$27))</f>
        <v>30</v>
      </c>
      <c r="T54" s="861">
        <v>30</v>
      </c>
      <c r="U54" s="852"/>
      <c r="V54" s="852"/>
      <c r="W54" s="34"/>
      <c r="X54" s="133"/>
      <c r="Y54" s="134"/>
      <c r="Z54" s="134"/>
      <c r="AA54" s="134"/>
      <c r="AB54" s="134"/>
      <c r="AC54" s="134"/>
      <c r="AD54" s="134"/>
      <c r="AE54" s="134"/>
      <c r="AF54" s="134"/>
      <c r="AG54" s="134"/>
      <c r="AH54" s="134"/>
      <c r="AI54" s="134"/>
      <c r="AJ54" s="134"/>
      <c r="AK54" s="134"/>
      <c r="AL54" s="134"/>
      <c r="AM54" s="134"/>
      <c r="AN54" s="134"/>
      <c r="AO54" s="114"/>
    </row>
    <row r="55" spans="2:41" ht="14.65" customHeight="1" thickBot="1">
      <c r="G55" s="28" t="s">
        <v>341</v>
      </c>
      <c r="H55" s="79"/>
      <c r="I55" s="603">
        <v>50000</v>
      </c>
      <c r="J55" s="159">
        <f ca="1">I55/$G$38</f>
        <v>4166.666666666667</v>
      </c>
      <c r="K55" s="160"/>
      <c r="L55" s="396" t="s">
        <v>284</v>
      </c>
      <c r="M55" s="388">
        <f ca="1">IF(ISBLANK(OFFSET(M55,0,$P$48)),$N55,OFFSET(M55,0,$P$48))</f>
        <v>0.02</v>
      </c>
      <c r="N55" s="624">
        <v>0.02</v>
      </c>
      <c r="O55" s="625"/>
      <c r="P55" s="626"/>
      <c r="Q55" s="151"/>
      <c r="R55" s="27" t="s">
        <v>340</v>
      </c>
      <c r="S55" s="90">
        <f ca="1">PMT(S49,S54,-S48,0)</f>
        <v>0</v>
      </c>
      <c r="T55" s="529" t="s">
        <v>335</v>
      </c>
      <c r="U55" s="535" t="s">
        <v>335</v>
      </c>
      <c r="V55" s="218" t="s">
        <v>335</v>
      </c>
      <c r="X55" s="70" t="s">
        <v>359</v>
      </c>
      <c r="Y55" s="830"/>
      <c r="AA55" s="34"/>
      <c r="AB55" s="35"/>
      <c r="AG55" s="4"/>
      <c r="AH55" s="4"/>
      <c r="AI55" s="4"/>
      <c r="AJ55" s="4"/>
      <c r="AK55" s="4"/>
      <c r="AL55" s="4"/>
      <c r="AM55" s="4"/>
      <c r="AN55" s="4"/>
      <c r="AO55" s="114"/>
    </row>
    <row r="56" spans="2:41" ht="43.9" customHeight="1" thickBot="1">
      <c r="E56" s="102" t="s">
        <v>344</v>
      </c>
      <c r="F56" s="607">
        <v>50870</v>
      </c>
      <c r="G56" s="28" t="s">
        <v>345</v>
      </c>
      <c r="H56" s="79"/>
      <c r="I56" s="109">
        <f ca="1">F56*G38</f>
        <v>610440</v>
      </c>
      <c r="J56" s="159">
        <f ca="1">I56/$G$38</f>
        <v>50870</v>
      </c>
      <c r="K56" s="160"/>
      <c r="L56" s="175"/>
      <c r="M56" s="176"/>
      <c r="N56" s="182"/>
      <c r="O56" s="166"/>
      <c r="P56" s="183"/>
      <c r="Q56" s="151"/>
      <c r="R56" s="88" t="s">
        <v>297</v>
      </c>
      <c r="S56" s="65">
        <f ca="1">IF(ISBLANK(OFFSET(S56,0,$T$27)),$T56,OFFSET(S56,0,$T$27))</f>
        <v>1.1499999999999999</v>
      </c>
      <c r="T56" s="675">
        <v>1.1499999999999999</v>
      </c>
      <c r="U56" s="666"/>
      <c r="V56" s="665"/>
      <c r="W56" s="840" t="s">
        <v>361</v>
      </c>
      <c r="X56" s="67" t="s">
        <v>362</v>
      </c>
      <c r="Y56" s="109"/>
      <c r="Z56" s="20">
        <v>175000</v>
      </c>
      <c r="AA56" s="109">
        <f t="shared" ref="AA56:AN56" ca="1" si="39">Z61+Z51</f>
        <v>118595.76736568147</v>
      </c>
      <c r="AB56" s="109">
        <f t="shared" ca="1" si="39"/>
        <v>64520.498955362942</v>
      </c>
      <c r="AC56" s="109">
        <f t="shared" ca="1" si="39"/>
        <v>61520.498955362942</v>
      </c>
      <c r="AD56" s="109">
        <f t="shared" ca="1" si="39"/>
        <v>58520.498955362942</v>
      </c>
      <c r="AE56" s="109">
        <f t="shared" ca="1" si="39"/>
        <v>388165.38423347694</v>
      </c>
      <c r="AF56" s="109">
        <f t="shared" ca="1" si="39"/>
        <v>514423.07788718241</v>
      </c>
      <c r="AG56" s="109">
        <f t="shared" ca="1" si="39"/>
        <v>645979.23422115634</v>
      </c>
      <c r="AH56" s="109">
        <f t="shared" ca="1" si="39"/>
        <v>782992.80711580673</v>
      </c>
      <c r="AI56" s="109">
        <f t="shared" ca="1" si="39"/>
        <v>925627.51906795381</v>
      </c>
      <c r="AJ56" s="109">
        <f t="shared" ca="1" si="39"/>
        <v>1074052.0042493225</v>
      </c>
      <c r="AK56" s="109">
        <f t="shared" ca="1" si="39"/>
        <v>1228439.9558567894</v>
      </c>
      <c r="AL56" s="109">
        <f t="shared" ca="1" si="39"/>
        <v>1388970.2778831376</v>
      </c>
      <c r="AM56" s="109">
        <f t="shared" ca="1" si="39"/>
        <v>1555827.2414409334</v>
      </c>
      <c r="AN56" s="109">
        <f t="shared" ca="1" si="39"/>
        <v>1729200.6457761205</v>
      </c>
      <c r="AO56" s="285"/>
    </row>
    <row r="57" spans="2:41" ht="18" thickBot="1">
      <c r="E57" s="102" t="s">
        <v>346</v>
      </c>
      <c r="F57" s="608">
        <v>0.25</v>
      </c>
      <c r="G57" s="28" t="s">
        <v>347</v>
      </c>
      <c r="H57" s="79"/>
      <c r="I57" s="603">
        <v>0</v>
      </c>
      <c r="J57" s="159">
        <f ca="1">I57/$G$38</f>
        <v>0</v>
      </c>
      <c r="K57" s="160"/>
      <c r="L57" s="28"/>
      <c r="M57" s="79"/>
      <c r="N57" s="2"/>
      <c r="O57" s="166"/>
      <c r="P57" s="185"/>
      <c r="Q57" s="151"/>
      <c r="R57" s="27"/>
      <c r="S57" s="72"/>
      <c r="T57" s="151"/>
      <c r="U57" s="34"/>
      <c r="V57" s="73"/>
      <c r="W57" s="81" t="str">
        <f ca="1">IF(-AO58&lt;=Z56,"Yes","No")</f>
        <v>Yes</v>
      </c>
      <c r="X57" s="286" t="s">
        <v>365</v>
      </c>
      <c r="Y57" s="109"/>
      <c r="Z57" s="833">
        <f ca="1">Z56/(SUM(Z22,Z37,Z42,Z44)/12)</f>
        <v>6.3209132604504958</v>
      </c>
      <c r="AA57" s="833">
        <f t="shared" ref="AA57:AN57" ca="1" si="40">AA56/(SUM(AA22,AA37,AA42,AA44)/12)</f>
        <v>4.2071859563201643</v>
      </c>
      <c r="AB57" s="833">
        <f t="shared" ca="1" si="40"/>
        <v>2.9193144659085397</v>
      </c>
      <c r="AC57" s="833">
        <f t="shared" ca="1" si="40"/>
        <v>2.7419588557221468</v>
      </c>
      <c r="AD57" s="833">
        <f t="shared" ca="1" si="40"/>
        <v>2.4239799686382009</v>
      </c>
      <c r="AE57" s="833">
        <f t="shared" ca="1" si="40"/>
        <v>15.844652529929173</v>
      </c>
      <c r="AF57" s="833">
        <f t="shared" ca="1" si="40"/>
        <v>20.68885285271125</v>
      </c>
      <c r="AG57" s="833">
        <f t="shared" ca="1" si="40"/>
        <v>25.591145727447401</v>
      </c>
      <c r="AH57" s="833">
        <f t="shared" ca="1" si="40"/>
        <v>30.548462702078425</v>
      </c>
      <c r="AI57" s="833">
        <f t="shared" ca="1" si="40"/>
        <v>35.557692205177432</v>
      </c>
      <c r="AJ57" s="833">
        <f t="shared" ca="1" si="40"/>
        <v>40.615685059118455</v>
      </c>
      <c r="AK57" s="833">
        <f t="shared" ca="1" si="40"/>
        <v>45.719260074539449</v>
      </c>
      <c r="AL57" s="833">
        <f t="shared" ca="1" si="40"/>
        <v>50.865209705077959</v>
      </c>
      <c r="AM57" s="833">
        <f t="shared" ca="1" si="40"/>
        <v>56.05030574117518</v>
      </c>
      <c r="AN57" s="833">
        <f t="shared" ca="1" si="40"/>
        <v>61.271305021696143</v>
      </c>
      <c r="AO57" s="285"/>
    </row>
    <row r="58" spans="2:41" ht="18" thickBot="1">
      <c r="E58" s="102" t="s">
        <v>462</v>
      </c>
      <c r="F58" s="609" t="s">
        <v>168</v>
      </c>
      <c r="G58" s="28" t="s">
        <v>350</v>
      </c>
      <c r="H58" s="79"/>
      <c r="I58" s="109">
        <f ca="1">IF(F58="yes",SUM(I55:I57)*F57,0)</f>
        <v>165110</v>
      </c>
      <c r="J58" s="159">
        <f ca="1">I58/$G$38</f>
        <v>13759.166666666666</v>
      </c>
      <c r="K58" s="160"/>
      <c r="L58" s="54" t="s">
        <v>342</v>
      </c>
      <c r="M58" s="163"/>
      <c r="N58" s="189"/>
      <c r="O58" s="189"/>
      <c r="P58" s="190"/>
      <c r="Q58" s="151"/>
      <c r="R58" s="27"/>
      <c r="S58" s="72"/>
      <c r="T58" s="151"/>
      <c r="U58" s="34"/>
      <c r="V58" s="73"/>
      <c r="W58" s="34"/>
      <c r="X58" s="67" t="s">
        <v>368</v>
      </c>
      <c r="Z58" s="109">
        <f ca="1">IF(Z24+Z29-Z37-Z42-Z44&lt;0,Z24+Z29-Z37-Z42-Z44,0)</f>
        <v>-53404.232634318527</v>
      </c>
      <c r="AA58" s="109">
        <f t="shared" ref="AA58:AN58" ca="1" si="41">IF(AA24+AA29-AA37-AA42-AA44&lt;0,AA24+AA29-AA37-AA42-AA44,0)</f>
        <v>-51075.268410318531</v>
      </c>
      <c r="AB58" s="109">
        <f t="shared" ca="1" si="41"/>
        <v>0</v>
      </c>
      <c r="AC58" s="109">
        <f t="shared" ca="1" si="41"/>
        <v>0</v>
      </c>
      <c r="AD58" s="109">
        <f t="shared" ca="1" si="41"/>
        <v>0</v>
      </c>
      <c r="AE58" s="109">
        <f t="shared" ca="1" si="41"/>
        <v>0</v>
      </c>
      <c r="AF58" s="109">
        <f t="shared" ca="1" si="41"/>
        <v>0</v>
      </c>
      <c r="AG58" s="109">
        <f t="shared" ca="1" si="41"/>
        <v>0</v>
      </c>
      <c r="AH58" s="109">
        <f t="shared" ca="1" si="41"/>
        <v>0</v>
      </c>
      <c r="AI58" s="109">
        <f t="shared" ca="1" si="41"/>
        <v>0</v>
      </c>
      <c r="AJ58" s="109">
        <f t="shared" ca="1" si="41"/>
        <v>0</v>
      </c>
      <c r="AK58" s="109">
        <f t="shared" ca="1" si="41"/>
        <v>0</v>
      </c>
      <c r="AL58" s="109">
        <f t="shared" ca="1" si="41"/>
        <v>0</v>
      </c>
      <c r="AM58" s="109">
        <f t="shared" ca="1" si="41"/>
        <v>0</v>
      </c>
      <c r="AN58" s="109">
        <f t="shared" ca="1" si="41"/>
        <v>0</v>
      </c>
      <c r="AO58" s="834">
        <f ca="1">SUM(Z58:AN58)</f>
        <v>-104479.50104463706</v>
      </c>
    </row>
    <row r="59" spans="2:41" ht="14.45">
      <c r="E59" s="102" t="s">
        <v>354</v>
      </c>
      <c r="F59" s="608">
        <v>0.17</v>
      </c>
      <c r="G59" s="517" t="s">
        <v>355</v>
      </c>
      <c r="H59" s="151"/>
      <c r="I59" s="518">
        <f ca="1">SUM(I55:I58)*F59</f>
        <v>140343.5</v>
      </c>
      <c r="J59" s="159">
        <f ca="1">I59/$G$38</f>
        <v>11695.291666666666</v>
      </c>
      <c r="K59" s="160"/>
      <c r="L59" s="11" t="s">
        <v>222</v>
      </c>
      <c r="M59" s="24">
        <f ca="1">IF(ISBLANK(OFFSET(M59,0,$P$48)),$N59,OFFSET(M59,0,$P$48))</f>
        <v>250000</v>
      </c>
      <c r="N59" s="609">
        <v>250000</v>
      </c>
      <c r="O59" s="609"/>
      <c r="P59" s="628"/>
      <c r="Q59" s="151"/>
      <c r="R59" s="54" t="s">
        <v>463</v>
      </c>
      <c r="S59" s="89"/>
      <c r="T59" s="224"/>
      <c r="U59" s="225"/>
      <c r="V59" s="224"/>
      <c r="W59" s="34"/>
      <c r="X59" s="67" t="s">
        <v>371</v>
      </c>
      <c r="Y59" s="255"/>
      <c r="Z59" s="832">
        <f ca="1">IF($W$32="Yes",Z58,0)</f>
        <v>-53404.232634318527</v>
      </c>
      <c r="AA59" s="832">
        <f t="shared" ref="AA59:AN59" ca="1" si="42">IF($W$32="Yes",AA58,0)</f>
        <v>-51075.268410318531</v>
      </c>
      <c r="AB59" s="832">
        <f t="shared" ca="1" si="42"/>
        <v>0</v>
      </c>
      <c r="AC59" s="832">
        <f t="shared" ca="1" si="42"/>
        <v>0</v>
      </c>
      <c r="AD59" s="832">
        <f t="shared" ca="1" si="42"/>
        <v>0</v>
      </c>
      <c r="AE59" s="832">
        <f t="shared" ca="1" si="42"/>
        <v>0</v>
      </c>
      <c r="AF59" s="832">
        <f t="shared" ca="1" si="42"/>
        <v>0</v>
      </c>
      <c r="AG59" s="832">
        <f t="shared" ca="1" si="42"/>
        <v>0</v>
      </c>
      <c r="AH59" s="832">
        <f t="shared" ca="1" si="42"/>
        <v>0</v>
      </c>
      <c r="AI59" s="832">
        <f t="shared" ca="1" si="42"/>
        <v>0</v>
      </c>
      <c r="AJ59" s="832">
        <f t="shared" ca="1" si="42"/>
        <v>0</v>
      </c>
      <c r="AK59" s="832">
        <f t="shared" ca="1" si="42"/>
        <v>0</v>
      </c>
      <c r="AL59" s="832">
        <f t="shared" ca="1" si="42"/>
        <v>0</v>
      </c>
      <c r="AM59" s="832">
        <f t="shared" ca="1" si="42"/>
        <v>0</v>
      </c>
      <c r="AN59" s="832">
        <f t="shared" ca="1" si="42"/>
        <v>0</v>
      </c>
      <c r="AO59" s="284"/>
    </row>
    <row r="60" spans="2:41" ht="14.65" customHeight="1">
      <c r="G60" s="54" t="s">
        <v>464</v>
      </c>
      <c r="H60" s="305"/>
      <c r="I60" s="306">
        <f ca="1">SUM(I55:I59)</f>
        <v>965893.5</v>
      </c>
      <c r="J60" s="307">
        <f ca="1">SUM(J55:J59)</f>
        <v>80491.125</v>
      </c>
      <c r="K60" s="160"/>
      <c r="L60" s="12" t="s">
        <v>280</v>
      </c>
      <c r="M60" s="23">
        <f ca="1">IF(ISBLANK(OFFSET(M60,0,$P$48)),$N60,OFFSET(M60,0,$P$48))</f>
        <v>3.5000000000000003E-2</v>
      </c>
      <c r="N60" s="619">
        <v>3.5000000000000003E-2</v>
      </c>
      <c r="O60" s="619"/>
      <c r="P60" s="630"/>
      <c r="Q60" s="10"/>
      <c r="R60" s="11" t="s">
        <v>222</v>
      </c>
      <c r="S60" s="24">
        <f t="shared" ref="S60:S65" ca="1" si="43">IF(ISBLANK(OFFSET(S60,0,$T$27)),$T60,OFFSET(S60,0,$T$27))</f>
        <v>100000</v>
      </c>
      <c r="T60" s="637">
        <v>100000</v>
      </c>
      <c r="U60" s="667"/>
      <c r="V60" s="637"/>
      <c r="W60" s="34"/>
      <c r="X60" s="67" t="s">
        <v>372</v>
      </c>
      <c r="Z60" s="603">
        <v>3000</v>
      </c>
      <c r="AA60" s="603">
        <v>3000</v>
      </c>
      <c r="AB60" s="603">
        <v>3000</v>
      </c>
      <c r="AC60" s="603">
        <v>3000</v>
      </c>
      <c r="AD60" s="603">
        <v>3000</v>
      </c>
      <c r="AE60" s="603">
        <v>3000</v>
      </c>
      <c r="AF60" s="603">
        <v>3000</v>
      </c>
      <c r="AG60" s="603">
        <v>3000</v>
      </c>
      <c r="AH60" s="603">
        <v>3000</v>
      </c>
      <c r="AI60" s="603">
        <v>3000</v>
      </c>
      <c r="AJ60" s="603">
        <v>3000</v>
      </c>
      <c r="AK60" s="603">
        <v>3000</v>
      </c>
      <c r="AL60" s="603">
        <v>3000</v>
      </c>
      <c r="AM60" s="603">
        <v>3000</v>
      </c>
      <c r="AN60" s="603">
        <v>3001</v>
      </c>
      <c r="AO60" s="287"/>
    </row>
    <row r="61" spans="2:41" ht="45" customHeight="1">
      <c r="G61" s="28"/>
      <c r="H61" s="79"/>
      <c r="I61" s="179"/>
      <c r="J61" s="159"/>
      <c r="K61" s="177"/>
      <c r="L61" s="12" t="s">
        <v>351</v>
      </c>
      <c r="M61" s="59">
        <f ca="1">IF(ISBLANK(OFFSET(M61,0,$P$48)),$N61,OFFSET(M61,0,$P$48))</f>
        <v>3</v>
      </c>
      <c r="N61" s="621">
        <v>3</v>
      </c>
      <c r="O61" s="622"/>
      <c r="P61" s="623"/>
      <c r="Q61" s="10"/>
      <c r="R61" s="12" t="s">
        <v>280</v>
      </c>
      <c r="S61" s="29">
        <f t="shared" ca="1" si="43"/>
        <v>0.02</v>
      </c>
      <c r="T61" s="620">
        <v>0.02</v>
      </c>
      <c r="U61" s="658"/>
      <c r="V61" s="620"/>
      <c r="X61" s="67" t="s">
        <v>375</v>
      </c>
      <c r="Z61" s="109">
        <f ca="1">IF(Z56+Z59-Z60&gt;0,Z56+Z59-Z60,0)</f>
        <v>118595.76736568147</v>
      </c>
      <c r="AA61" s="109">
        <f t="shared" ref="AA61:AN61" ca="1" si="44">IF(AA56+AA59-AA60&gt;0,AA56+AA59-AA60,0)</f>
        <v>64520.498955362942</v>
      </c>
      <c r="AB61" s="109">
        <f t="shared" ca="1" si="44"/>
        <v>61520.498955362942</v>
      </c>
      <c r="AC61" s="109">
        <f t="shared" ca="1" si="44"/>
        <v>58520.498955362942</v>
      </c>
      <c r="AD61" s="109">
        <f t="shared" ca="1" si="44"/>
        <v>55520.498955362942</v>
      </c>
      <c r="AE61" s="109">
        <f t="shared" ca="1" si="44"/>
        <v>385165.38423347694</v>
      </c>
      <c r="AF61" s="109">
        <f t="shared" ca="1" si="44"/>
        <v>511423.07788718241</v>
      </c>
      <c r="AG61" s="109">
        <f t="shared" ca="1" si="44"/>
        <v>642979.23422115634</v>
      </c>
      <c r="AH61" s="109">
        <f t="shared" ca="1" si="44"/>
        <v>779992.80711580673</v>
      </c>
      <c r="AI61" s="109">
        <f t="shared" ca="1" si="44"/>
        <v>922627.51906795381</v>
      </c>
      <c r="AJ61" s="109">
        <f t="shared" ca="1" si="44"/>
        <v>1071052.0042493225</v>
      </c>
      <c r="AK61" s="109">
        <f t="shared" ca="1" si="44"/>
        <v>1225439.9558567894</v>
      </c>
      <c r="AL61" s="109">
        <f t="shared" ca="1" si="44"/>
        <v>1385970.2778831376</v>
      </c>
      <c r="AM61" s="109">
        <f t="shared" ca="1" si="44"/>
        <v>1552827.2414409334</v>
      </c>
      <c r="AN61" s="109">
        <f t="shared" ca="1" si="44"/>
        <v>1726199.6457761205</v>
      </c>
      <c r="AO61" s="287"/>
    </row>
    <row r="62" spans="2:41" ht="14.65" customHeight="1" thickBot="1">
      <c r="G62" s="181" t="s">
        <v>238</v>
      </c>
      <c r="H62" s="176"/>
      <c r="I62" s="179"/>
      <c r="J62" s="159"/>
      <c r="K62" s="160"/>
      <c r="L62" s="396" t="s">
        <v>284</v>
      </c>
      <c r="M62" s="388">
        <f ca="1">IF(ISBLANK(OFFSET(M62,0,$P$48)),$N62,OFFSET(M62,0,$P$48))</f>
        <v>1.4999999999999999E-2</v>
      </c>
      <c r="N62" s="625">
        <v>1.4999999999999999E-2</v>
      </c>
      <c r="O62" s="625"/>
      <c r="P62" s="632"/>
      <c r="Q62" s="10"/>
      <c r="R62" s="27" t="s">
        <v>284</v>
      </c>
      <c r="S62" s="29">
        <f t="shared" ca="1" si="43"/>
        <v>0.01</v>
      </c>
      <c r="T62" s="620">
        <v>0.01</v>
      </c>
      <c r="U62" s="658"/>
      <c r="V62" s="620"/>
      <c r="X62" s="286" t="s">
        <v>378</v>
      </c>
      <c r="Z62" s="833">
        <f ca="1">Z61/(SUM(AA22,AA37,AA42,AA44)/12)</f>
        <v>4.2071859563201643</v>
      </c>
      <c r="AA62" s="833">
        <f t="shared" ref="AA62:AN62" ca="1" si="45">AA61/(SUM(AB22,AB37,AB42,AB44)/12)</f>
        <v>2.9193144659085397</v>
      </c>
      <c r="AB62" s="833">
        <f t="shared" ca="1" si="45"/>
        <v>2.7419588557221468</v>
      </c>
      <c r="AC62" s="833">
        <f t="shared" ca="1" si="45"/>
        <v>2.4239799686382009</v>
      </c>
      <c r="AD62" s="833">
        <f t="shared" ca="1" si="45"/>
        <v>2.2663097998117481</v>
      </c>
      <c r="AE62" s="833">
        <f t="shared" ca="1" si="45"/>
        <v>15.490420824611578</v>
      </c>
      <c r="AF62" s="833">
        <f t="shared" ca="1" si="45"/>
        <v>20.260562292486661</v>
      </c>
      <c r="AG62" s="833">
        <f t="shared" ca="1" si="45"/>
        <v>25.085833453781436</v>
      </c>
      <c r="AH62" s="833">
        <f t="shared" ca="1" si="45"/>
        <v>29.963180206227285</v>
      </c>
      <c r="AI62" s="833">
        <f t="shared" ca="1" si="45"/>
        <v>34.88951055729428</v>
      </c>
      <c r="AJ62" s="833">
        <f t="shared" ca="1" si="45"/>
        <v>39.861700119871486</v>
      </c>
      <c r="AK62" s="833">
        <f t="shared" ca="1" si="45"/>
        <v>44.876597669630954</v>
      </c>
      <c r="AL62" s="833">
        <f t="shared" ca="1" si="45"/>
        <v>49.931030743223197</v>
      </c>
      <c r="AM62" s="833">
        <f t="shared" ca="1" si="45"/>
        <v>55.021811256392908</v>
      </c>
      <c r="AN62" s="833" t="e">
        <f t="shared" ca="1" si="45"/>
        <v>#DIV/0!</v>
      </c>
      <c r="AO62" s="287"/>
    </row>
    <row r="63" spans="2:41" ht="14.65" customHeight="1">
      <c r="G63" s="28" t="s">
        <v>360</v>
      </c>
      <c r="H63" s="176"/>
      <c r="I63" s="179"/>
      <c r="J63" s="159"/>
      <c r="K63" s="160"/>
      <c r="L63" s="28"/>
      <c r="M63" s="382"/>
      <c r="N63" s="49"/>
      <c r="O63" s="49"/>
      <c r="P63" s="395"/>
      <c r="Q63" s="221"/>
      <c r="R63" s="27" t="s">
        <v>288</v>
      </c>
      <c r="S63" s="59">
        <f t="shared" ca="1" si="43"/>
        <v>15</v>
      </c>
      <c r="T63" s="623">
        <v>15</v>
      </c>
      <c r="U63" s="660"/>
      <c r="V63" s="623"/>
      <c r="W63" s="34"/>
      <c r="X63" s="67" t="s">
        <v>382</v>
      </c>
      <c r="Y63" s="109"/>
      <c r="Z63" s="109">
        <f ca="1">($V$9/12)*(SUM(AA22,AA37,AA42,AA44))</f>
        <v>169133.1478051593</v>
      </c>
      <c r="AA63" s="109">
        <f t="shared" ref="AA63:AN63" ca="1" si="46">($V$9/12)*(SUM(AB22,AB37,AB42,AB44))</f>
        <v>132607.50023779931</v>
      </c>
      <c r="AB63" s="109">
        <f t="shared" ca="1" si="46"/>
        <v>134620.17964341852</v>
      </c>
      <c r="AC63" s="109">
        <f t="shared" ca="1" si="46"/>
        <v>144853.91722500068</v>
      </c>
      <c r="AD63" s="109">
        <f t="shared" ca="1" si="46"/>
        <v>146989.16880642207</v>
      </c>
      <c r="AE63" s="109">
        <f t="shared" ca="1" si="46"/>
        <v>149188.47793528615</v>
      </c>
      <c r="AF63" s="109">
        <f t="shared" ca="1" si="46"/>
        <v>151453.76633801611</v>
      </c>
      <c r="AG63" s="109">
        <f t="shared" ca="1" si="46"/>
        <v>153787.01339282797</v>
      </c>
      <c r="AH63" s="109">
        <f t="shared" ca="1" si="46"/>
        <v>156190.2578592842</v>
      </c>
      <c r="AI63" s="109">
        <f t="shared" ca="1" si="46"/>
        <v>158665.59965973414</v>
      </c>
      <c r="AJ63" s="109">
        <f t="shared" ca="1" si="46"/>
        <v>161215.20171419755</v>
      </c>
      <c r="AK63" s="109">
        <f t="shared" ca="1" si="46"/>
        <v>163841.29183029488</v>
      </c>
      <c r="AL63" s="109">
        <f t="shared" ca="1" si="46"/>
        <v>166546.16464987511</v>
      </c>
      <c r="AM63" s="109">
        <f t="shared" ca="1" si="46"/>
        <v>169332.18365404275</v>
      </c>
      <c r="AN63" s="109">
        <f t="shared" si="46"/>
        <v>0</v>
      </c>
      <c r="AO63" s="285"/>
    </row>
    <row r="64" spans="2:41" ht="27.6">
      <c r="G64" s="437" t="s">
        <v>363</v>
      </c>
      <c r="H64" s="79"/>
      <c r="I64" s="603">
        <v>6000</v>
      </c>
      <c r="J64" s="159">
        <f ca="1">I64/$G$38</f>
        <v>500</v>
      </c>
      <c r="K64" s="160"/>
      <c r="L64" s="396" t="s">
        <v>426</v>
      </c>
      <c r="M64" s="383">
        <f ca="1">(C22+M59)/I93</f>
        <v>0.77555669828695228</v>
      </c>
      <c r="N64" s="384"/>
      <c r="O64" s="384"/>
      <c r="P64" s="385"/>
      <c r="Q64" s="221"/>
      <c r="R64" s="27" t="s">
        <v>291</v>
      </c>
      <c r="S64" s="59">
        <f t="shared" ca="1" si="43"/>
        <v>4</v>
      </c>
      <c r="T64" s="623">
        <v>4</v>
      </c>
      <c r="U64" s="660"/>
      <c r="V64" s="623"/>
      <c r="W64" s="34"/>
      <c r="X64" s="368" t="s">
        <v>385</v>
      </c>
      <c r="Y64" s="519"/>
      <c r="Z64" s="109">
        <f t="shared" ref="Z64:AN64" ca="1" si="47">IF(Z61&gt;Z63,0,Z63-Z61)</f>
        <v>50537.380439477827</v>
      </c>
      <c r="AA64" s="109">
        <f t="shared" ca="1" si="47"/>
        <v>68087.001282436366</v>
      </c>
      <c r="AB64" s="109">
        <f t="shared" ca="1" si="47"/>
        <v>73099.680688055581</v>
      </c>
      <c r="AC64" s="109">
        <f t="shared" ca="1" si="47"/>
        <v>86333.418269637739</v>
      </c>
      <c r="AD64" s="109">
        <f t="shared" ca="1" si="47"/>
        <v>91468.669851059123</v>
      </c>
      <c r="AE64" s="109">
        <f t="shared" ca="1" si="47"/>
        <v>0</v>
      </c>
      <c r="AF64" s="109">
        <f t="shared" ca="1" si="47"/>
        <v>0</v>
      </c>
      <c r="AG64" s="109">
        <f t="shared" ca="1" si="47"/>
        <v>0</v>
      </c>
      <c r="AH64" s="109">
        <f t="shared" ca="1" si="47"/>
        <v>0</v>
      </c>
      <c r="AI64" s="109">
        <f t="shared" ca="1" si="47"/>
        <v>0</v>
      </c>
      <c r="AJ64" s="109">
        <f t="shared" ca="1" si="47"/>
        <v>0</v>
      </c>
      <c r="AK64" s="109">
        <f t="shared" ca="1" si="47"/>
        <v>0</v>
      </c>
      <c r="AL64" s="109">
        <f t="shared" ca="1" si="47"/>
        <v>0</v>
      </c>
      <c r="AM64" s="109">
        <f t="shared" ca="1" si="47"/>
        <v>0</v>
      </c>
      <c r="AN64" s="109">
        <f t="shared" ca="1" si="47"/>
        <v>0</v>
      </c>
      <c r="AO64" s="835">
        <f ca="1">SUM(Z64:AN64)</f>
        <v>369526.15053066658</v>
      </c>
    </row>
    <row r="65" spans="3:60" ht="15">
      <c r="G65" s="437" t="s">
        <v>366</v>
      </c>
      <c r="H65" s="79"/>
      <c r="I65" s="603">
        <v>35000</v>
      </c>
      <c r="J65" s="159">
        <f ca="1">I65/$G$38</f>
        <v>2916.6666666666665</v>
      </c>
      <c r="K65" s="160"/>
      <c r="L65" s="27"/>
      <c r="M65" s="382"/>
      <c r="N65" s="49"/>
      <c r="O65" s="49"/>
      <c r="P65" s="395"/>
      <c r="Q65" s="151"/>
      <c r="R65" s="27" t="s">
        <v>465</v>
      </c>
      <c r="S65" s="59">
        <f t="shared" ca="1" si="43"/>
        <v>30</v>
      </c>
      <c r="T65" s="595">
        <v>30</v>
      </c>
      <c r="U65" s="594"/>
      <c r="V65" s="595"/>
      <c r="W65" s="34"/>
      <c r="X65" s="67"/>
      <c r="AD65" s="202"/>
      <c r="AE65" s="202"/>
      <c r="AF65" s="202"/>
      <c r="AG65" s="202"/>
      <c r="AH65" s="202"/>
      <c r="AI65" s="202"/>
      <c r="AJ65" s="202"/>
      <c r="AK65" s="202"/>
      <c r="AL65" s="203"/>
      <c r="AM65" s="194"/>
      <c r="AN65" s="36"/>
      <c r="AO65" s="289"/>
      <c r="BH65" s="86"/>
    </row>
    <row r="66" spans="3:60" ht="14.45" thickBot="1">
      <c r="G66" s="437" t="s">
        <v>369</v>
      </c>
      <c r="H66" s="79"/>
      <c r="I66" s="605">
        <v>0</v>
      </c>
      <c r="J66" s="304">
        <f ca="1">I66/$G$38</f>
        <v>0</v>
      </c>
      <c r="K66" s="160"/>
      <c r="L66" s="91"/>
      <c r="M66" s="205"/>
      <c r="N66" s="55"/>
      <c r="O66" s="55"/>
      <c r="P66" s="206"/>
      <c r="Q66" s="151"/>
      <c r="R66" s="27" t="s">
        <v>340</v>
      </c>
      <c r="S66" s="90">
        <f ca="1">PMT(S61,S65,-S60,0)</f>
        <v>4464.992229340296</v>
      </c>
      <c r="T66" s="218" t="s">
        <v>335</v>
      </c>
      <c r="U66" s="218" t="s">
        <v>335</v>
      </c>
      <c r="V66" s="218" t="s">
        <v>335</v>
      </c>
      <c r="W66" s="35"/>
      <c r="X66" s="67"/>
      <c r="AD66" s="202"/>
      <c r="AE66" s="202"/>
      <c r="AF66" s="202"/>
      <c r="AG66" s="202"/>
      <c r="AH66" s="202"/>
      <c r="AI66" s="202"/>
      <c r="AJ66" s="202"/>
      <c r="AK66" s="202"/>
      <c r="AL66" s="203"/>
      <c r="AM66" s="194"/>
      <c r="AN66" s="36"/>
      <c r="AO66" s="289"/>
    </row>
    <row r="67" spans="3:60" ht="15.6" thickBot="1">
      <c r="G67" s="181"/>
      <c r="H67" s="176"/>
      <c r="I67" s="179"/>
      <c r="J67" s="159"/>
      <c r="K67" s="160"/>
      <c r="L67" s="54" t="s">
        <v>428</v>
      </c>
      <c r="M67" s="163"/>
      <c r="N67" s="189"/>
      <c r="O67" s="189"/>
      <c r="P67" s="190"/>
      <c r="Q67" s="221"/>
      <c r="R67" s="88" t="s">
        <v>297</v>
      </c>
      <c r="S67" s="65">
        <f ca="1">IF(ISBLANK(OFFSET(S67,0,$T$27)),$T67,OFFSET(S67,0,$T$27))</f>
        <v>1.1499999999999999</v>
      </c>
      <c r="T67" s="665">
        <v>1.1499999999999999</v>
      </c>
      <c r="U67" s="666"/>
      <c r="V67" s="665"/>
      <c r="W67" s="34"/>
      <c r="X67" s="70" t="s">
        <v>390</v>
      </c>
      <c r="AD67" s="203"/>
      <c r="AE67" s="203"/>
      <c r="AF67" s="203"/>
      <c r="AG67" s="203"/>
      <c r="AH67" s="203"/>
      <c r="AI67" s="203"/>
      <c r="AJ67" s="203"/>
      <c r="AK67" s="203"/>
      <c r="AL67" s="34"/>
      <c r="AM67" s="197"/>
      <c r="AN67" s="36"/>
      <c r="AO67" s="114"/>
      <c r="BG67" s="86"/>
    </row>
    <row r="68" spans="3:60">
      <c r="G68" s="28" t="s">
        <v>373</v>
      </c>
      <c r="H68" s="176"/>
      <c r="I68" s="179"/>
      <c r="J68" s="159"/>
      <c r="K68" s="177"/>
      <c r="L68" s="84" t="s">
        <v>429</v>
      </c>
      <c r="M68" s="24">
        <f ca="1">IF(ISBLANK(OFFSET(M68,0,$P$48)),$N68,OFFSET(M68,0,$P$48))</f>
        <v>0</v>
      </c>
      <c r="N68" s="636">
        <v>0</v>
      </c>
      <c r="O68" s="609"/>
      <c r="P68" s="637"/>
      <c r="Q68" s="151"/>
      <c r="R68" s="67"/>
      <c r="V68" s="114"/>
      <c r="W68" s="34"/>
      <c r="X68" s="67" t="s">
        <v>393</v>
      </c>
      <c r="Y68" s="20"/>
      <c r="Z68" s="20">
        <v>10000</v>
      </c>
      <c r="AA68" s="187">
        <f ca="1">Z71</f>
        <v>24000</v>
      </c>
      <c r="AB68" s="187">
        <f t="shared" ref="AB68:AN68" ca="1" si="48">AA71</f>
        <v>38540</v>
      </c>
      <c r="AC68" s="187">
        <f t="shared" ca="1" si="48"/>
        <v>53636.2</v>
      </c>
      <c r="AD68" s="187">
        <f t="shared" ca="1" si="48"/>
        <v>69305.285999999993</v>
      </c>
      <c r="AE68" s="187">
        <f t="shared" ca="1" si="48"/>
        <v>85564.444579999996</v>
      </c>
      <c r="AF68" s="187">
        <f t="shared" ca="1" si="48"/>
        <v>102431.37791740001</v>
      </c>
      <c r="AG68" s="187">
        <f t="shared" ca="1" si="48"/>
        <v>119924.31925492201</v>
      </c>
      <c r="AH68" s="187">
        <f t="shared" ca="1" si="48"/>
        <v>138062.04883256968</v>
      </c>
      <c r="AI68" s="187">
        <f t="shared" ca="1" si="48"/>
        <v>156863.91029754677</v>
      </c>
      <c r="AJ68" s="187">
        <f t="shared" ca="1" si="48"/>
        <v>176349.82760647318</v>
      </c>
      <c r="AK68" s="187">
        <f t="shared" ca="1" si="48"/>
        <v>196540.32243466738</v>
      </c>
      <c r="AL68" s="187">
        <f t="shared" ca="1" si="48"/>
        <v>217456.5321077074</v>
      </c>
      <c r="AM68" s="187">
        <f t="shared" ca="1" si="48"/>
        <v>239120.22807093864</v>
      </c>
      <c r="AN68" s="187">
        <f t="shared" ca="1" si="48"/>
        <v>261553.83491306682</v>
      </c>
      <c r="AO68" s="114"/>
    </row>
    <row r="69" spans="3:60">
      <c r="C69" s="358"/>
      <c r="G69" s="437" t="s">
        <v>376</v>
      </c>
      <c r="H69" s="79"/>
      <c r="I69" s="603">
        <v>0</v>
      </c>
      <c r="J69" s="159">
        <f ca="1">I69/$G$38</f>
        <v>0</v>
      </c>
      <c r="K69" s="160"/>
      <c r="L69" s="84" t="s">
        <v>430</v>
      </c>
      <c r="M69" s="22">
        <f ca="1">IF(ISBLANK(OFFSET(M69,0,$P$48)),$N69,OFFSET(M69,0,$P$48))</f>
        <v>0</v>
      </c>
      <c r="N69" s="638">
        <v>0</v>
      </c>
      <c r="O69" s="608"/>
      <c r="P69" s="639"/>
      <c r="Q69" s="151"/>
      <c r="R69" s="397" t="s">
        <v>374</v>
      </c>
      <c r="S69" s="398">
        <f ca="1">(C39+S48+S60)/N38</f>
        <v>0.37397874813104126</v>
      </c>
      <c r="T69" s="399"/>
      <c r="U69" s="400"/>
      <c r="V69" s="401"/>
      <c r="W69" s="34"/>
      <c r="X69" s="67" t="s">
        <v>397</v>
      </c>
      <c r="Y69" s="109"/>
      <c r="Z69" s="109">
        <f t="shared" ref="Z69:AN69" ca="1" si="49">Z20</f>
        <v>18000</v>
      </c>
      <c r="AA69" s="109">
        <f t="shared" ca="1" si="49"/>
        <v>18540</v>
      </c>
      <c r="AB69" s="109">
        <f t="shared" ca="1" si="49"/>
        <v>19096.2</v>
      </c>
      <c r="AC69" s="109">
        <f t="shared" ca="1" si="49"/>
        <v>19669.086000000003</v>
      </c>
      <c r="AD69" s="109">
        <f t="shared" ca="1" si="49"/>
        <v>20259.158580000003</v>
      </c>
      <c r="AE69" s="109">
        <f t="shared" ca="1" si="49"/>
        <v>20866.933337400005</v>
      </c>
      <c r="AF69" s="109">
        <f t="shared" ca="1" si="49"/>
        <v>21492.941337522007</v>
      </c>
      <c r="AG69" s="109">
        <f t="shared" ca="1" si="49"/>
        <v>22137.729577647668</v>
      </c>
      <c r="AH69" s="109">
        <f t="shared" ca="1" si="49"/>
        <v>22801.861464977097</v>
      </c>
      <c r="AI69" s="109">
        <f t="shared" ca="1" si="49"/>
        <v>23485.917308926411</v>
      </c>
      <c r="AJ69" s="109">
        <f t="shared" ca="1" si="49"/>
        <v>24190.494828194205</v>
      </c>
      <c r="AK69" s="109">
        <f t="shared" ca="1" si="49"/>
        <v>24916.209673040034</v>
      </c>
      <c r="AL69" s="109">
        <f t="shared" ca="1" si="49"/>
        <v>25663.695963231236</v>
      </c>
      <c r="AM69" s="109">
        <f t="shared" ca="1" si="49"/>
        <v>26433.606842128174</v>
      </c>
      <c r="AN69" s="109">
        <f t="shared" ca="1" si="49"/>
        <v>27226.615047392021</v>
      </c>
      <c r="AO69" s="114"/>
    </row>
    <row r="70" spans="3:60" ht="14.45" thickBot="1">
      <c r="G70" s="437" t="s">
        <v>379</v>
      </c>
      <c r="H70" s="79"/>
      <c r="I70" s="603">
        <v>10000</v>
      </c>
      <c r="J70" s="159">
        <f ca="1">I70/$G$38</f>
        <v>833.33333333333337</v>
      </c>
      <c r="K70" s="160"/>
      <c r="L70" s="62" t="s">
        <v>432</v>
      </c>
      <c r="M70" s="393">
        <f ca="1">IF(ISBLANK(OFFSET(M70,0,$P$48)),$N70,OFFSET(M70,0,$P$48))</f>
        <v>0</v>
      </c>
      <c r="N70" s="640">
        <v>0</v>
      </c>
      <c r="O70" s="641"/>
      <c r="P70" s="642"/>
      <c r="Q70" s="151"/>
      <c r="R70" s="67"/>
      <c r="V70" s="114"/>
      <c r="W70" s="34"/>
      <c r="X70" s="67" t="s">
        <v>400</v>
      </c>
      <c r="Y70" s="603"/>
      <c r="Z70" s="603">
        <v>4000</v>
      </c>
      <c r="AA70" s="603">
        <v>4000</v>
      </c>
      <c r="AB70" s="603">
        <v>4000</v>
      </c>
      <c r="AC70" s="603">
        <v>4000</v>
      </c>
      <c r="AD70" s="603">
        <v>4000</v>
      </c>
      <c r="AE70" s="603">
        <v>4000</v>
      </c>
      <c r="AF70" s="603">
        <v>4000</v>
      </c>
      <c r="AG70" s="603">
        <v>4000</v>
      </c>
      <c r="AH70" s="603">
        <v>4000</v>
      </c>
      <c r="AI70" s="603">
        <v>4000</v>
      </c>
      <c r="AJ70" s="603">
        <v>4000</v>
      </c>
      <c r="AK70" s="603">
        <v>4000</v>
      </c>
      <c r="AL70" s="603">
        <v>4000</v>
      </c>
      <c r="AM70" s="603">
        <v>4000</v>
      </c>
      <c r="AN70" s="603">
        <v>4000</v>
      </c>
      <c r="AO70" s="114"/>
    </row>
    <row r="71" spans="3:60" ht="14.45" thickBot="1">
      <c r="G71" s="437" t="s">
        <v>383</v>
      </c>
      <c r="H71" s="79"/>
      <c r="I71" s="603">
        <v>15000</v>
      </c>
      <c r="J71" s="159">
        <f ca="1">I71/$G$38</f>
        <v>1250</v>
      </c>
      <c r="K71" s="160"/>
      <c r="L71" s="94"/>
      <c r="M71" s="214"/>
      <c r="N71" s="55"/>
      <c r="O71" s="166"/>
      <c r="P71" s="215"/>
      <c r="Q71" s="151"/>
      <c r="R71" s="67"/>
      <c r="V71" s="114"/>
      <c r="W71" s="230"/>
      <c r="X71" s="67" t="s">
        <v>403</v>
      </c>
      <c r="Y71" s="213"/>
      <c r="Z71" s="213">
        <f ca="1">Z68+Z69-Z70</f>
        <v>24000</v>
      </c>
      <c r="AA71" s="213">
        <f t="shared" ref="AA71:AN71" ca="1" si="50">AA68+AA69-AA70</f>
        <v>38540</v>
      </c>
      <c r="AB71" s="213">
        <f t="shared" ca="1" si="50"/>
        <v>53636.2</v>
      </c>
      <c r="AC71" s="213">
        <f t="shared" ca="1" si="50"/>
        <v>69305.285999999993</v>
      </c>
      <c r="AD71" s="213">
        <f t="shared" ca="1" si="50"/>
        <v>85564.444579999996</v>
      </c>
      <c r="AE71" s="213">
        <f t="shared" ca="1" si="50"/>
        <v>102431.37791740001</v>
      </c>
      <c r="AF71" s="213">
        <f t="shared" ca="1" si="50"/>
        <v>119924.31925492201</v>
      </c>
      <c r="AG71" s="213">
        <f t="shared" ca="1" si="50"/>
        <v>138062.04883256968</v>
      </c>
      <c r="AH71" s="213">
        <f t="shared" ca="1" si="50"/>
        <v>156863.91029754677</v>
      </c>
      <c r="AI71" s="213">
        <f t="shared" ca="1" si="50"/>
        <v>176349.82760647318</v>
      </c>
      <c r="AJ71" s="213">
        <f t="shared" ca="1" si="50"/>
        <v>196540.32243466738</v>
      </c>
      <c r="AK71" s="213">
        <f t="shared" ca="1" si="50"/>
        <v>217456.5321077074</v>
      </c>
      <c r="AL71" s="213">
        <f t="shared" ca="1" si="50"/>
        <v>239120.22807093864</v>
      </c>
      <c r="AM71" s="213">
        <f t="shared" ca="1" si="50"/>
        <v>261553.83491306682</v>
      </c>
      <c r="AN71" s="213">
        <f t="shared" ca="1" si="50"/>
        <v>284780.44996045885</v>
      </c>
      <c r="AO71" s="114"/>
    </row>
    <row r="72" spans="3:60" ht="14.45" thickBot="1">
      <c r="G72" s="437" t="s">
        <v>386</v>
      </c>
      <c r="H72" s="79"/>
      <c r="I72" s="605">
        <v>0</v>
      </c>
      <c r="J72" s="304">
        <f ca="1">I72/$G$38</f>
        <v>0</v>
      </c>
      <c r="K72" s="160"/>
      <c r="L72" s="91"/>
      <c r="M72" s="205"/>
      <c r="N72" s="55"/>
      <c r="O72" s="166"/>
      <c r="P72" s="215"/>
      <c r="R72" s="807" t="s">
        <v>381</v>
      </c>
      <c r="S72" s="163"/>
      <c r="T72" s="496"/>
      <c r="U72" s="189"/>
      <c r="V72" s="190"/>
      <c r="W72" s="230"/>
      <c r="X72" s="290" t="s">
        <v>406</v>
      </c>
      <c r="Y72" s="692"/>
      <c r="Z72" s="692">
        <f ca="1">Z71/$G$38</f>
        <v>2000</v>
      </c>
      <c r="AA72" s="692">
        <f t="shared" ref="AA72:AN72" ca="1" si="51">AA71/$G$38</f>
        <v>3211.6666666666665</v>
      </c>
      <c r="AB72" s="692">
        <f t="shared" ca="1" si="51"/>
        <v>4469.6833333333334</v>
      </c>
      <c r="AC72" s="692">
        <f t="shared" ca="1" si="51"/>
        <v>5775.4404999999997</v>
      </c>
      <c r="AD72" s="692">
        <f t="shared" ca="1" si="51"/>
        <v>7130.3703816666666</v>
      </c>
      <c r="AE72" s="692">
        <f t="shared" ca="1" si="51"/>
        <v>8535.9481597833346</v>
      </c>
      <c r="AF72" s="692">
        <f t="shared" ca="1" si="51"/>
        <v>9993.6932712435009</v>
      </c>
      <c r="AG72" s="692">
        <f t="shared" ca="1" si="51"/>
        <v>11505.170736047474</v>
      </c>
      <c r="AH72" s="692">
        <f t="shared" ca="1" si="51"/>
        <v>13071.992524795563</v>
      </c>
      <c r="AI72" s="692">
        <f t="shared" ca="1" si="51"/>
        <v>14695.818967206098</v>
      </c>
      <c r="AJ72" s="692">
        <f t="shared" ca="1" si="51"/>
        <v>16378.360202888949</v>
      </c>
      <c r="AK72" s="692">
        <f t="shared" ca="1" si="51"/>
        <v>18121.377675642285</v>
      </c>
      <c r="AL72" s="692">
        <f t="shared" ca="1" si="51"/>
        <v>19926.68567257822</v>
      </c>
      <c r="AM72" s="692">
        <f t="shared" ca="1" si="51"/>
        <v>21796.152909422235</v>
      </c>
      <c r="AN72" s="692">
        <f t="shared" ca="1" si="51"/>
        <v>23731.704163371571</v>
      </c>
      <c r="AO72" s="171"/>
    </row>
    <row r="73" spans="3:60">
      <c r="G73" s="437"/>
      <c r="H73" s="79"/>
      <c r="I73" s="179"/>
      <c r="J73" s="159"/>
      <c r="K73" s="160"/>
      <c r="L73" s="54" t="s">
        <v>433</v>
      </c>
      <c r="M73" s="163"/>
      <c r="N73" s="189"/>
      <c r="O73" s="189"/>
      <c r="P73" s="190"/>
      <c r="R73" s="84" t="s">
        <v>384</v>
      </c>
      <c r="S73" s="24">
        <f t="shared" ref="S73" ca="1" si="52">IF(ISBLANK(OFFSET(S73,0,$T$27)),$T73,OFFSET(S73,0,$T$27))</f>
        <v>400000</v>
      </c>
      <c r="T73" s="803">
        <v>400000</v>
      </c>
      <c r="U73" s="804"/>
      <c r="V73" s="811"/>
      <c r="W73" s="34"/>
      <c r="X73" s="34"/>
      <c r="Y73" s="34"/>
      <c r="Z73" s="34"/>
      <c r="AA73" s="34"/>
      <c r="AB73" s="34"/>
      <c r="AC73" s="34"/>
      <c r="AD73" s="34"/>
      <c r="AE73" s="34"/>
      <c r="AF73" s="34"/>
      <c r="AG73" s="34"/>
      <c r="AH73" s="34"/>
      <c r="AI73" s="34"/>
      <c r="AJ73" s="34"/>
      <c r="AK73" s="34"/>
      <c r="AL73" s="34"/>
      <c r="AM73" s="216"/>
    </row>
    <row r="74" spans="3:60" ht="14.45" thickBot="1">
      <c r="G74" s="28" t="s">
        <v>389</v>
      </c>
      <c r="H74" s="176"/>
      <c r="I74" s="179"/>
      <c r="J74" s="159"/>
      <c r="K74" s="160"/>
      <c r="L74" s="62" t="s">
        <v>222</v>
      </c>
      <c r="M74" s="392">
        <f ca="1">IF(ISBLANK(OFFSET(M74,0,$P$48)),$N74,OFFSET(M74,0,$P$48))</f>
        <v>150000</v>
      </c>
      <c r="N74" s="643">
        <v>150000</v>
      </c>
      <c r="O74" s="644"/>
      <c r="P74" s="645"/>
      <c r="R74" s="62" t="s">
        <v>388</v>
      </c>
      <c r="S74" s="810">
        <f ca="1">IF(ISBLANK(OFFSET(S74,0,$T$27)),$T74,OFFSET(S74,0,$T$27))</f>
        <v>5</v>
      </c>
      <c r="T74" s="812">
        <v>5</v>
      </c>
      <c r="U74" s="813"/>
      <c r="V74" s="814"/>
      <c r="X74" s="34"/>
      <c r="Z74" s="4"/>
      <c r="AA74" s="5"/>
      <c r="AB74" s="5"/>
      <c r="AC74" s="34"/>
      <c r="AD74" s="34"/>
      <c r="AE74" s="34"/>
      <c r="AF74" s="34"/>
      <c r="AG74" s="34"/>
      <c r="AH74" s="34"/>
      <c r="AI74" s="34"/>
      <c r="AJ74" s="34"/>
      <c r="AK74" s="36"/>
      <c r="AL74" s="217"/>
    </row>
    <row r="75" spans="3:60" ht="15.6">
      <c r="G75" s="437" t="s">
        <v>391</v>
      </c>
      <c r="H75" s="79"/>
      <c r="I75" s="605">
        <v>0</v>
      </c>
      <c r="J75" s="159">
        <f ca="1">I75/$G$38</f>
        <v>0</v>
      </c>
      <c r="K75" s="160"/>
      <c r="L75" s="91"/>
      <c r="M75" s="205"/>
      <c r="N75" s="55"/>
      <c r="O75" s="219"/>
      <c r="P75" s="215"/>
      <c r="R75" s="91"/>
      <c r="S75" s="205"/>
      <c r="U75" s="219"/>
      <c r="V75" s="215"/>
      <c r="X75" s="848" t="s">
        <v>414</v>
      </c>
      <c r="Z75" s="34"/>
      <c r="AA75" s="203"/>
      <c r="AB75" s="203"/>
      <c r="AC75" s="203"/>
      <c r="AD75" s="34"/>
      <c r="AE75" s="34"/>
      <c r="AF75" s="34"/>
      <c r="AG75" s="34"/>
      <c r="AH75" s="36"/>
      <c r="AI75" s="34"/>
      <c r="AJ75" s="34"/>
      <c r="AK75" s="34"/>
      <c r="AL75" s="216"/>
    </row>
    <row r="76" spans="3:60" ht="16.149999999999999" thickBot="1">
      <c r="E76" s="102" t="s">
        <v>394</v>
      </c>
      <c r="F76" s="187">
        <f ca="1">(C22*M53*M54)+(C22*M55)+(C23*M60*M54)+(C23*M62)+(C39*S33)+(C40*S62)</f>
        <v>1862226.3410626708</v>
      </c>
      <c r="G76" s="437" t="s">
        <v>466</v>
      </c>
      <c r="H76" s="79"/>
      <c r="I76" s="671">
        <v>300000</v>
      </c>
      <c r="J76" s="159">
        <f ca="1">I76/$G$38</f>
        <v>25000</v>
      </c>
      <c r="K76" s="160"/>
      <c r="L76" s="91"/>
      <c r="M76" s="205"/>
      <c r="N76" s="55"/>
      <c r="O76" s="220"/>
      <c r="P76" s="25"/>
      <c r="R76" s="91"/>
      <c r="S76" s="205"/>
      <c r="U76" s="220"/>
      <c r="V76" s="25"/>
      <c r="X76" s="849" t="str">
        <f>B39</f>
        <v>Perm Senior Blanket Loan</v>
      </c>
      <c r="Y76" s="216"/>
      <c r="Z76" s="520"/>
      <c r="AA76" s="33"/>
      <c r="AB76" s="34"/>
      <c r="AC76" s="34"/>
      <c r="AD76" s="216"/>
      <c r="AE76" s="216"/>
      <c r="AF76" s="216"/>
      <c r="AG76" s="216"/>
      <c r="AH76" s="216"/>
      <c r="AI76" s="216"/>
      <c r="AJ76" s="216"/>
      <c r="AK76" s="216"/>
      <c r="AL76" s="217"/>
    </row>
    <row r="77" spans="3:60" ht="27.6">
      <c r="G77" s="437" t="s">
        <v>398</v>
      </c>
      <c r="H77" s="79"/>
      <c r="I77" s="671">
        <v>80000</v>
      </c>
      <c r="J77" s="159">
        <f ca="1">I77/$G$38</f>
        <v>6666.666666666667</v>
      </c>
      <c r="K77" s="160"/>
      <c r="L77" s="222" t="s">
        <v>434</v>
      </c>
      <c r="M77" s="394"/>
      <c r="N77" s="189"/>
      <c r="O77" s="189"/>
      <c r="P77" s="190"/>
      <c r="R77" s="809" t="s">
        <v>392</v>
      </c>
      <c r="S77" s="394"/>
      <c r="T77" s="496"/>
      <c r="U77" s="189"/>
      <c r="V77" s="190"/>
      <c r="X77" s="842" t="s">
        <v>420</v>
      </c>
      <c r="Z77" s="187">
        <f ca="1">C39</f>
        <v>1687618.4160663772</v>
      </c>
      <c r="AA77" s="109">
        <f ca="1">Z80</f>
        <v>1687618.4160663772</v>
      </c>
      <c r="AB77" s="109">
        <f t="shared" ref="AB77:AN77" ca="1" si="53">AA80</f>
        <v>1687618.4160663772</v>
      </c>
      <c r="AC77" s="109">
        <f t="shared" ca="1" si="53"/>
        <v>1687618.4160663772</v>
      </c>
      <c r="AD77" s="109">
        <f t="shared" ca="1" si="53"/>
        <v>1687618.4160663772</v>
      </c>
      <c r="AE77" s="109">
        <f t="shared" ca="1" si="53"/>
        <v>1671297.0604787883</v>
      </c>
      <c r="AF77" s="109">
        <f t="shared" ca="1" si="53"/>
        <v>1653751.6032221303</v>
      </c>
      <c r="AG77" s="109">
        <f t="shared" ca="1" si="53"/>
        <v>1634890.2366712228</v>
      </c>
      <c r="AH77" s="109">
        <f t="shared" ca="1" si="53"/>
        <v>1614614.2676289976</v>
      </c>
      <c r="AI77" s="109">
        <f t="shared" ca="1" si="53"/>
        <v>1592817.6009086054</v>
      </c>
      <c r="AJ77" s="109">
        <f t="shared" ca="1" si="53"/>
        <v>1569386.1841841838</v>
      </c>
      <c r="AK77" s="109">
        <f t="shared" ca="1" si="53"/>
        <v>1544197.4112054305</v>
      </c>
      <c r="AL77" s="109">
        <f t="shared" ca="1" si="53"/>
        <v>1517119.4802532708</v>
      </c>
      <c r="AM77" s="109">
        <f t="shared" ca="1" si="53"/>
        <v>1488010.704479699</v>
      </c>
      <c r="AN77" s="109">
        <f t="shared" ca="1" si="53"/>
        <v>1456718.7705231095</v>
      </c>
    </row>
    <row r="78" spans="3:60" ht="14.45" thickBot="1">
      <c r="G78" s="784" t="s">
        <v>467</v>
      </c>
      <c r="H78" s="79"/>
      <c r="I78" s="671">
        <v>20000</v>
      </c>
      <c r="J78" s="370">
        <f ca="1">I78/$G$38</f>
        <v>1666.6666666666667</v>
      </c>
      <c r="K78" s="160"/>
      <c r="L78" s="62" t="s">
        <v>222</v>
      </c>
      <c r="M78" s="392">
        <f ca="1">IF(ISBLANK(OFFSET(M78,0,$P$48)),$N78,OFFSET(M78,0,$P$48))</f>
        <v>3000000</v>
      </c>
      <c r="N78" s="643">
        <v>3000000</v>
      </c>
      <c r="O78" s="644"/>
      <c r="P78" s="646"/>
      <c r="R78" s="84" t="s">
        <v>396</v>
      </c>
      <c r="S78" s="24">
        <f t="shared" ref="S78" ca="1" si="54">IF(ISBLANK(OFFSET(S78,0,$T$27)),$T78,OFFSET(S78,0,$T$27))</f>
        <v>100000</v>
      </c>
      <c r="T78" s="803">
        <v>100000</v>
      </c>
      <c r="U78" s="804"/>
      <c r="V78" s="806"/>
      <c r="X78" s="843" t="s">
        <v>423</v>
      </c>
      <c r="Z78" s="850">
        <f ca="1">Z77*$S$32</f>
        <v>126571.38120497829</v>
      </c>
      <c r="AA78" s="850">
        <f t="shared" ref="AA78:AN78" ca="1" si="55">AA77*$S$32</f>
        <v>126571.38120497829</v>
      </c>
      <c r="AB78" s="850">
        <f t="shared" ca="1" si="55"/>
        <v>126571.38120497829</v>
      </c>
      <c r="AC78" s="850">
        <f t="shared" ca="1" si="55"/>
        <v>126571.38120497829</v>
      </c>
      <c r="AD78" s="850">
        <f t="shared" ca="1" si="55"/>
        <v>126571.38120497829</v>
      </c>
      <c r="AE78" s="850">
        <f t="shared" ca="1" si="55"/>
        <v>125347.27953590913</v>
      </c>
      <c r="AF78" s="850">
        <f t="shared" ca="1" si="55"/>
        <v>124031.37024165977</v>
      </c>
      <c r="AG78" s="850">
        <f t="shared" ca="1" si="55"/>
        <v>122616.76775034171</v>
      </c>
      <c r="AH78" s="850">
        <f t="shared" ca="1" si="55"/>
        <v>121096.07007217481</v>
      </c>
      <c r="AI78" s="850">
        <f t="shared" ca="1" si="55"/>
        <v>119461.3200681454</v>
      </c>
      <c r="AJ78" s="850">
        <f t="shared" ca="1" si="55"/>
        <v>117703.96381381378</v>
      </c>
      <c r="AK78" s="850">
        <f t="shared" ca="1" si="55"/>
        <v>115814.80584040728</v>
      </c>
      <c r="AL78" s="850">
        <f t="shared" ca="1" si="55"/>
        <v>113783.96101899531</v>
      </c>
      <c r="AM78" s="850">
        <f t="shared" ca="1" si="55"/>
        <v>111600.80283597742</v>
      </c>
      <c r="AN78" s="850">
        <f t="shared" ca="1" si="55"/>
        <v>109253.90778923321</v>
      </c>
    </row>
    <row r="79" spans="3:60" ht="14.45" thickBot="1">
      <c r="E79" s="102" t="s">
        <v>401</v>
      </c>
      <c r="F79" s="672">
        <v>10</v>
      </c>
      <c r="G79" s="437" t="s">
        <v>402</v>
      </c>
      <c r="H79" s="79"/>
      <c r="I79" s="109">
        <f ca="1">(F79/12)*V21*G38</f>
        <v>15000</v>
      </c>
      <c r="J79" s="370">
        <f>V21</f>
        <v>1500</v>
      </c>
      <c r="K79" s="160"/>
      <c r="L79" s="15"/>
      <c r="M79" s="80"/>
      <c r="N79" s="226"/>
      <c r="O79" s="166"/>
      <c r="P79" s="166"/>
      <c r="R79" s="62" t="s">
        <v>399</v>
      </c>
      <c r="S79" s="810">
        <f ca="1">IF(ISBLANK(OFFSET(S79,0,$T$27)),$T79,OFFSET(S79,0,$T$27))</f>
        <v>6</v>
      </c>
      <c r="T79" s="812">
        <v>6</v>
      </c>
      <c r="U79" s="813"/>
      <c r="V79" s="814"/>
      <c r="X79" s="842" t="s">
        <v>424</v>
      </c>
      <c r="Z79" s="845">
        <f ca="1">Z37</f>
        <v>126571.38120497829</v>
      </c>
      <c r="AA79" s="845">
        <f t="shared" ref="AA79:AN79" ca="1" si="56">AA37</f>
        <v>126571.38120497829</v>
      </c>
      <c r="AB79" s="845">
        <f t="shared" ca="1" si="56"/>
        <v>126571.38120497829</v>
      </c>
      <c r="AC79" s="845">
        <f t="shared" ca="1" si="56"/>
        <v>126571.38120497829</v>
      </c>
      <c r="AD79" s="845">
        <f t="shared" ca="1" si="56"/>
        <v>142892.73679256707</v>
      </c>
      <c r="AE79" s="845">
        <f t="shared" ca="1" si="56"/>
        <v>142892.73679256707</v>
      </c>
      <c r="AF79" s="845">
        <f t="shared" ca="1" si="56"/>
        <v>142892.73679256707</v>
      </c>
      <c r="AG79" s="845">
        <f t="shared" ca="1" si="56"/>
        <v>142892.73679256707</v>
      </c>
      <c r="AH79" s="845">
        <f t="shared" ca="1" si="56"/>
        <v>142892.73679256707</v>
      </c>
      <c r="AI79" s="845">
        <f t="shared" ca="1" si="56"/>
        <v>142892.73679256707</v>
      </c>
      <c r="AJ79" s="845">
        <f t="shared" ca="1" si="56"/>
        <v>142892.73679256707</v>
      </c>
      <c r="AK79" s="845">
        <f t="shared" ca="1" si="56"/>
        <v>142892.73679256707</v>
      </c>
      <c r="AL79" s="845">
        <f t="shared" ca="1" si="56"/>
        <v>142892.73679256707</v>
      </c>
      <c r="AM79" s="845">
        <f t="shared" ca="1" si="56"/>
        <v>142892.73679256707</v>
      </c>
      <c r="AN79" s="845">
        <f t="shared" ca="1" si="56"/>
        <v>142892.73679256707</v>
      </c>
    </row>
    <row r="80" spans="3:60" ht="14.45" thickBot="1">
      <c r="C80" s="441" t="s">
        <v>409</v>
      </c>
      <c r="E80" s="102" t="s">
        <v>404</v>
      </c>
      <c r="F80" s="672">
        <v>6</v>
      </c>
      <c r="G80" s="437" t="s">
        <v>405</v>
      </c>
      <c r="H80" s="79"/>
      <c r="I80" s="109">
        <f ca="1">(F80/12)*((SUM(I52,I60,I64:I78,I81:I86)*M52*M53)+(M59*M60)+(Z22))</f>
        <v>367099.08022499993</v>
      </c>
      <c r="J80" s="370">
        <f t="shared" ref="J80:J85" ca="1" si="57">I80/$G$38</f>
        <v>30591.590018749994</v>
      </c>
      <c r="K80" s="177"/>
      <c r="L80" s="28"/>
      <c r="M80" s="79"/>
      <c r="N80" s="228"/>
      <c r="O80" s="166"/>
      <c r="P80" s="166"/>
      <c r="R80" s="67"/>
      <c r="V80" s="114"/>
      <c r="X80" s="846" t="s">
        <v>427</v>
      </c>
      <c r="Y80" s="827"/>
      <c r="Z80" s="847">
        <f ca="1">Z77+Z78-Z79</f>
        <v>1687618.4160663772</v>
      </c>
      <c r="AA80" s="847">
        <f t="shared" ref="AA80:AN80" ca="1" si="58">AA77+AA78-AA79</f>
        <v>1687618.4160663772</v>
      </c>
      <c r="AB80" s="847">
        <f t="shared" ca="1" si="58"/>
        <v>1687618.4160663772</v>
      </c>
      <c r="AC80" s="847">
        <f t="shared" ca="1" si="58"/>
        <v>1687618.4160663772</v>
      </c>
      <c r="AD80" s="847">
        <f t="shared" ca="1" si="58"/>
        <v>1671297.0604787883</v>
      </c>
      <c r="AE80" s="847">
        <f t="shared" ca="1" si="58"/>
        <v>1653751.6032221303</v>
      </c>
      <c r="AF80" s="847">
        <f t="shared" ca="1" si="58"/>
        <v>1634890.2366712228</v>
      </c>
      <c r="AG80" s="847">
        <f t="shared" ca="1" si="58"/>
        <v>1614614.2676289976</v>
      </c>
      <c r="AH80" s="847">
        <f t="shared" ca="1" si="58"/>
        <v>1592817.6009086054</v>
      </c>
      <c r="AI80" s="847">
        <f t="shared" ca="1" si="58"/>
        <v>1569386.1841841838</v>
      </c>
      <c r="AJ80" s="847">
        <f t="shared" ca="1" si="58"/>
        <v>1544197.4112054305</v>
      </c>
      <c r="AK80" s="847">
        <f t="shared" ca="1" si="58"/>
        <v>1517119.4802532708</v>
      </c>
      <c r="AL80" s="847">
        <f t="shared" ca="1" si="58"/>
        <v>1488010.704479699</v>
      </c>
      <c r="AM80" s="847">
        <f t="shared" ca="1" si="58"/>
        <v>1456718.7705231095</v>
      </c>
      <c r="AN80" s="847">
        <f t="shared" ca="1" si="58"/>
        <v>1423079.9415197754</v>
      </c>
    </row>
    <row r="81" spans="3:40" ht="14.45" thickBot="1">
      <c r="C81" s="205" t="s">
        <v>411</v>
      </c>
      <c r="G81" s="437" t="s">
        <v>407</v>
      </c>
      <c r="H81" s="79"/>
      <c r="I81" s="671">
        <v>0</v>
      </c>
      <c r="J81" s="370">
        <f t="shared" ca="1" si="57"/>
        <v>0</v>
      </c>
      <c r="K81" s="160"/>
      <c r="L81" s="222" t="s">
        <v>435</v>
      </c>
      <c r="M81" s="394"/>
      <c r="N81" s="189"/>
      <c r="O81" s="189"/>
      <c r="P81" s="190"/>
      <c r="R81" s="67"/>
      <c r="V81" s="114"/>
      <c r="Z81" s="33"/>
      <c r="AA81" s="202"/>
      <c r="AB81" s="202"/>
      <c r="AC81" s="202"/>
    </row>
    <row r="82" spans="3:40" ht="16.149999999999999" thickBot="1">
      <c r="C82" s="205" t="s">
        <v>412</v>
      </c>
      <c r="G82" s="437" t="s">
        <v>410</v>
      </c>
      <c r="H82" s="79"/>
      <c r="I82" s="671">
        <v>50000</v>
      </c>
      <c r="J82" s="370">
        <f t="shared" ca="1" si="57"/>
        <v>4166.666666666667</v>
      </c>
      <c r="K82" s="177"/>
      <c r="L82" s="62" t="s">
        <v>222</v>
      </c>
      <c r="M82" s="392">
        <f ca="1">IF(ISBLANK(OFFSET(M82,0,$P$48)),$N82,OFFSET(M82,0,$P$48))</f>
        <v>2000000</v>
      </c>
      <c r="N82" s="643">
        <v>2000000</v>
      </c>
      <c r="O82" s="644"/>
      <c r="P82" s="646"/>
      <c r="R82" s="522" t="s">
        <v>468</v>
      </c>
      <c r="S82" s="89"/>
      <c r="T82" s="224"/>
      <c r="U82" s="225"/>
      <c r="V82" s="224"/>
      <c r="X82" s="473" t="str">
        <f>B23</f>
        <v>Subordinate Loan #1 (IO-&gt;P&amp;I)</v>
      </c>
    </row>
    <row r="83" spans="3:40">
      <c r="C83" s="102" t="s">
        <v>415</v>
      </c>
      <c r="D83" s="611">
        <v>0.2</v>
      </c>
      <c r="G83" s="437" t="s">
        <v>228</v>
      </c>
      <c r="H83" s="79"/>
      <c r="I83" s="671">
        <v>45000</v>
      </c>
      <c r="J83" s="370">
        <f t="shared" ca="1" si="57"/>
        <v>3750</v>
      </c>
      <c r="L83" s="15"/>
      <c r="M83" s="80"/>
      <c r="N83" s="14"/>
      <c r="O83" s="166"/>
      <c r="P83" s="166"/>
      <c r="R83" s="11" t="s">
        <v>469</v>
      </c>
      <c r="S83" s="24">
        <f ca="1">IF(ISBLANK(OFFSET(S83,0,$T$27)),$T83,OFFSET(S83,0,$T$27))</f>
        <v>0</v>
      </c>
      <c r="T83" s="637">
        <v>0</v>
      </c>
      <c r="U83" s="667">
        <v>50000</v>
      </c>
      <c r="V83" s="637"/>
      <c r="X83" s="842" t="s">
        <v>420</v>
      </c>
      <c r="Z83" s="109">
        <f ca="1">S48</f>
        <v>0</v>
      </c>
      <c r="AA83" s="109">
        <f ca="1">Z86</f>
        <v>0</v>
      </c>
      <c r="AB83" s="109">
        <f t="shared" ref="AB83:AN83" ca="1" si="59">AA86</f>
        <v>0</v>
      </c>
      <c r="AC83" s="109">
        <f t="shared" ca="1" si="59"/>
        <v>0</v>
      </c>
      <c r="AD83" s="109">
        <f t="shared" ca="1" si="59"/>
        <v>0</v>
      </c>
      <c r="AE83" s="109">
        <f t="shared" ca="1" si="59"/>
        <v>0</v>
      </c>
      <c r="AF83" s="109">
        <f t="shared" ca="1" si="59"/>
        <v>0</v>
      </c>
      <c r="AG83" s="109">
        <f t="shared" ca="1" si="59"/>
        <v>0</v>
      </c>
      <c r="AH83" s="109">
        <f t="shared" ca="1" si="59"/>
        <v>0</v>
      </c>
      <c r="AI83" s="109">
        <f t="shared" ca="1" si="59"/>
        <v>0</v>
      </c>
      <c r="AJ83" s="109">
        <f t="shared" ca="1" si="59"/>
        <v>0</v>
      </c>
      <c r="AK83" s="109">
        <f t="shared" ca="1" si="59"/>
        <v>0</v>
      </c>
      <c r="AL83" s="109">
        <f t="shared" ca="1" si="59"/>
        <v>0</v>
      </c>
      <c r="AM83" s="109">
        <f t="shared" ca="1" si="59"/>
        <v>0</v>
      </c>
      <c r="AN83" s="109">
        <f t="shared" ca="1" si="59"/>
        <v>0</v>
      </c>
    </row>
    <row r="84" spans="3:40" ht="14.45" thickBot="1">
      <c r="C84" s="102" t="s">
        <v>418</v>
      </c>
      <c r="D84" s="605">
        <v>50000</v>
      </c>
      <c r="G84" s="437" t="s">
        <v>413</v>
      </c>
      <c r="H84" s="79"/>
      <c r="I84" s="671">
        <v>92000</v>
      </c>
      <c r="J84" s="370">
        <f t="shared" ca="1" si="57"/>
        <v>7666.666666666667</v>
      </c>
      <c r="L84" s="15"/>
      <c r="M84" s="80"/>
      <c r="N84" s="14"/>
      <c r="O84" s="166"/>
      <c r="P84" s="166"/>
      <c r="R84" s="11" t="s">
        <v>470</v>
      </c>
      <c r="S84" s="24">
        <f ca="1">IF(ISBLANK(OFFSET(S84,0,$T$27)),$T84,OFFSET(S84,0,$T$27))</f>
        <v>40000</v>
      </c>
      <c r="T84" s="637">
        <v>40000</v>
      </c>
      <c r="U84" s="667"/>
      <c r="V84" s="637"/>
      <c r="X84" s="843" t="s">
        <v>423</v>
      </c>
      <c r="Z84" s="109">
        <f ca="1">Z83*$S$49</f>
        <v>0</v>
      </c>
      <c r="AA84" s="109">
        <f ca="1">AA83*$S$49</f>
        <v>0</v>
      </c>
      <c r="AB84" s="109">
        <f t="shared" ref="AB84:AN84" ca="1" si="60">AB83*$S$49</f>
        <v>0</v>
      </c>
      <c r="AC84" s="109">
        <f t="shared" ca="1" si="60"/>
        <v>0</v>
      </c>
      <c r="AD84" s="109">
        <f t="shared" ca="1" si="60"/>
        <v>0</v>
      </c>
      <c r="AE84" s="109">
        <f t="shared" ca="1" si="60"/>
        <v>0</v>
      </c>
      <c r="AF84" s="109">
        <f t="shared" ca="1" si="60"/>
        <v>0</v>
      </c>
      <c r="AG84" s="109">
        <f t="shared" ca="1" si="60"/>
        <v>0</v>
      </c>
      <c r="AH84" s="109">
        <f t="shared" ca="1" si="60"/>
        <v>0</v>
      </c>
      <c r="AI84" s="109">
        <f t="shared" ca="1" si="60"/>
        <v>0</v>
      </c>
      <c r="AJ84" s="109">
        <f t="shared" ca="1" si="60"/>
        <v>0</v>
      </c>
      <c r="AK84" s="109">
        <f t="shared" ca="1" si="60"/>
        <v>0</v>
      </c>
      <c r="AL84" s="109">
        <f t="shared" ca="1" si="60"/>
        <v>0</v>
      </c>
      <c r="AM84" s="109">
        <f t="shared" ca="1" si="60"/>
        <v>0</v>
      </c>
      <c r="AN84" s="109">
        <f t="shared" ca="1" si="60"/>
        <v>0</v>
      </c>
    </row>
    <row r="85" spans="3:40">
      <c r="C85" s="102" t="s">
        <v>421</v>
      </c>
      <c r="D85" s="612">
        <v>10000</v>
      </c>
      <c r="E85" s="102" t="s">
        <v>416</v>
      </c>
      <c r="F85" s="673" t="s">
        <v>174</v>
      </c>
      <c r="G85" s="437" t="s">
        <v>417</v>
      </c>
      <c r="H85" s="79"/>
      <c r="I85" s="109">
        <f ca="1">IF(F85="flat",D83*I60,D84+(D85*G38))</f>
        <v>193178.7</v>
      </c>
      <c r="J85" s="370">
        <f t="shared" ca="1" si="57"/>
        <v>16098.225</v>
      </c>
      <c r="L85" s="222" t="s">
        <v>436</v>
      </c>
      <c r="M85" s="394"/>
      <c r="N85" s="235"/>
      <c r="O85" s="13"/>
      <c r="P85" s="584"/>
      <c r="R85" s="563" t="s">
        <v>471</v>
      </c>
      <c r="S85" s="24">
        <f ca="1">S83-S84</f>
        <v>-40000</v>
      </c>
      <c r="T85" s="218" t="s">
        <v>335</v>
      </c>
      <c r="U85" s="535" t="s">
        <v>335</v>
      </c>
      <c r="V85" s="218" t="s">
        <v>335</v>
      </c>
      <c r="X85" s="842" t="s">
        <v>431</v>
      </c>
      <c r="Z85" s="109">
        <f ca="1">Z42</f>
        <v>0</v>
      </c>
      <c r="AA85" s="109">
        <f ca="1">AA42</f>
        <v>0</v>
      </c>
      <c r="AB85" s="109">
        <f t="shared" ref="AB85:AN85" ca="1" si="61">AB42</f>
        <v>0</v>
      </c>
      <c r="AC85" s="109">
        <f t="shared" ca="1" si="61"/>
        <v>0</v>
      </c>
      <c r="AD85" s="109">
        <f t="shared" ca="1" si="61"/>
        <v>0</v>
      </c>
      <c r="AE85" s="109">
        <f t="shared" ca="1" si="61"/>
        <v>0</v>
      </c>
      <c r="AF85" s="109">
        <f t="shared" ca="1" si="61"/>
        <v>0</v>
      </c>
      <c r="AG85" s="109">
        <f t="shared" ca="1" si="61"/>
        <v>0</v>
      </c>
      <c r="AH85" s="109">
        <f t="shared" ca="1" si="61"/>
        <v>0</v>
      </c>
      <c r="AI85" s="109">
        <f t="shared" ca="1" si="61"/>
        <v>0</v>
      </c>
      <c r="AJ85" s="109">
        <f t="shared" ca="1" si="61"/>
        <v>0</v>
      </c>
      <c r="AK85" s="109">
        <f t="shared" ca="1" si="61"/>
        <v>0</v>
      </c>
      <c r="AL85" s="109">
        <f t="shared" ca="1" si="61"/>
        <v>0</v>
      </c>
      <c r="AM85" s="109">
        <f t="shared" ca="1" si="61"/>
        <v>0</v>
      </c>
      <c r="AN85" s="109">
        <f t="shared" ca="1" si="61"/>
        <v>0</v>
      </c>
    </row>
    <row r="86" spans="3:40" ht="14.45" thickBot="1">
      <c r="F86" s="109"/>
      <c r="G86" s="438" t="s">
        <v>419</v>
      </c>
      <c r="H86" s="173"/>
      <c r="I86" s="785">
        <v>100000</v>
      </c>
      <c r="J86" s="786">
        <f ca="1">I86/$G$38</f>
        <v>8333.3333333333339</v>
      </c>
      <c r="L86" s="62" t="s">
        <v>222</v>
      </c>
      <c r="M86" s="392">
        <f ca="1">IF(ISBLANK(OFFSET(M86,0,$P$48)),$N86,OFFSET(M86,0,$P$48))</f>
        <v>1000000</v>
      </c>
      <c r="N86" s="643">
        <v>1000000</v>
      </c>
      <c r="O86" s="644">
        <f>N86+1800000</f>
        <v>2800000</v>
      </c>
      <c r="P86" s="646"/>
      <c r="R86" s="564" t="s">
        <v>280</v>
      </c>
      <c r="S86" s="29">
        <f ca="1">IF(ISBLANK(OFFSET(S86,0,$T$27)),$T86,OFFSET(S86,0,$T$27))</f>
        <v>7.0000000000000007E-2</v>
      </c>
      <c r="T86" s="620">
        <v>7.0000000000000007E-2</v>
      </c>
      <c r="U86" s="658"/>
      <c r="V86" s="620"/>
      <c r="X86" s="846" t="s">
        <v>427</v>
      </c>
      <c r="Y86" s="827"/>
      <c r="Z86" s="485">
        <f ca="1">Z83+Z84-Z85</f>
        <v>0</v>
      </c>
      <c r="AA86" s="485">
        <f ca="1">AA83+AA84-AA85</f>
        <v>0</v>
      </c>
      <c r="AB86" s="485">
        <f t="shared" ref="AB86:AN86" ca="1" si="62">AB83+AB84-AB85</f>
        <v>0</v>
      </c>
      <c r="AC86" s="485">
        <f t="shared" ca="1" si="62"/>
        <v>0</v>
      </c>
      <c r="AD86" s="485">
        <f t="shared" ca="1" si="62"/>
        <v>0</v>
      </c>
      <c r="AE86" s="485">
        <f t="shared" ca="1" si="62"/>
        <v>0</v>
      </c>
      <c r="AF86" s="485">
        <f t="shared" ca="1" si="62"/>
        <v>0</v>
      </c>
      <c r="AG86" s="485">
        <f t="shared" ca="1" si="62"/>
        <v>0</v>
      </c>
      <c r="AH86" s="485">
        <f t="shared" ca="1" si="62"/>
        <v>0</v>
      </c>
      <c r="AI86" s="485">
        <f t="shared" ca="1" si="62"/>
        <v>0</v>
      </c>
      <c r="AJ86" s="485">
        <f t="shared" ca="1" si="62"/>
        <v>0</v>
      </c>
      <c r="AK86" s="485">
        <f t="shared" ca="1" si="62"/>
        <v>0</v>
      </c>
      <c r="AL86" s="485">
        <f t="shared" ca="1" si="62"/>
        <v>0</v>
      </c>
      <c r="AM86" s="485">
        <f t="shared" ca="1" si="62"/>
        <v>0</v>
      </c>
      <c r="AN86" s="485">
        <f t="shared" ca="1" si="62"/>
        <v>0</v>
      </c>
    </row>
    <row r="87" spans="3:40">
      <c r="G87" s="175" t="s">
        <v>422</v>
      </c>
      <c r="H87" s="176"/>
      <c r="I87" s="177">
        <f ca="1">SUM(I64:I86)</f>
        <v>1328277.7802249999</v>
      </c>
      <c r="J87" s="198">
        <f ca="1">SUM(J64:J86)</f>
        <v>110939.81501875</v>
      </c>
      <c r="N87" s="151"/>
      <c r="O87" s="151"/>
      <c r="R87" s="565" t="s">
        <v>472</v>
      </c>
      <c r="S87" s="59">
        <f ca="1">IF(ISBLANK(OFFSET(S87,0,$T$27)),$T87,OFFSET(S87,0,$T$27))</f>
        <v>15</v>
      </c>
      <c r="T87" s="676">
        <v>15</v>
      </c>
      <c r="U87" s="660"/>
      <c r="V87" s="623"/>
      <c r="X87" s="36"/>
      <c r="Z87" s="4"/>
      <c r="AA87" s="4"/>
      <c r="AB87" s="4"/>
      <c r="AC87" s="36"/>
      <c r="AD87" s="36"/>
      <c r="AE87" s="36"/>
      <c r="AF87" s="36"/>
      <c r="AG87" s="36"/>
      <c r="AH87" s="36"/>
      <c r="AI87" s="36"/>
      <c r="AJ87" s="36"/>
      <c r="AK87" s="34"/>
      <c r="AL87" s="34"/>
    </row>
    <row r="88" spans="3:40" ht="15.6">
      <c r="G88" s="175"/>
      <c r="H88" s="176"/>
      <c r="I88" s="177"/>
      <c r="J88" s="198"/>
      <c r="R88" s="565" t="s">
        <v>340</v>
      </c>
      <c r="S88" s="90">
        <f ca="1">PMT(S86,S87,-S85,0)</f>
        <v>-4391.7849880402619</v>
      </c>
      <c r="T88" s="218" t="s">
        <v>335</v>
      </c>
      <c r="U88" s="535" t="s">
        <v>335</v>
      </c>
      <c r="V88" s="218" t="s">
        <v>335</v>
      </c>
      <c r="X88" s="473" t="str">
        <f>R59</f>
        <v>Subordinate Loan #2 (Perm Only)</v>
      </c>
    </row>
    <row r="89" spans="3:40" ht="28.15" thickBot="1">
      <c r="G89" s="181" t="s">
        <v>449</v>
      </c>
      <c r="H89" s="176"/>
      <c r="I89" s="179"/>
      <c r="J89" s="159"/>
      <c r="R89" s="557" t="s">
        <v>473</v>
      </c>
      <c r="S89" s="558" t="str">
        <f ca="1">IF(COUNTIF(AA111:BD111,"Yes"),"Yes","No")</f>
        <v>Yes</v>
      </c>
      <c r="T89" s="526" t="s">
        <v>335</v>
      </c>
      <c r="U89" s="527" t="s">
        <v>335</v>
      </c>
      <c r="V89" s="526" t="s">
        <v>335</v>
      </c>
      <c r="X89" s="842" t="s">
        <v>420</v>
      </c>
      <c r="Z89" s="109">
        <f ca="1">S60</f>
        <v>100000</v>
      </c>
      <c r="AA89" s="109">
        <f ca="1">Z92</f>
        <v>97535.007770659708</v>
      </c>
      <c r="AB89" s="109">
        <f t="shared" ref="AB89:AN89" ca="1" si="63">AA92</f>
        <v>95020.715696732615</v>
      </c>
      <c r="AC89" s="109">
        <f t="shared" ca="1" si="63"/>
        <v>92456.137781326979</v>
      </c>
      <c r="AD89" s="109">
        <f t="shared" ca="1" si="63"/>
        <v>89840.268307613223</v>
      </c>
      <c r="AE89" s="109">
        <f t="shared" ca="1" si="63"/>
        <v>87172.081444425203</v>
      </c>
      <c r="AF89" s="109">
        <f t="shared" ca="1" si="63"/>
        <v>84450.530843973407</v>
      </c>
      <c r="AG89" s="109">
        <f t="shared" ca="1" si="63"/>
        <v>81674.549231512588</v>
      </c>
      <c r="AH89" s="109">
        <f t="shared" ca="1" si="63"/>
        <v>78843.047986802543</v>
      </c>
      <c r="AI89" s="109">
        <f t="shared" ca="1" si="63"/>
        <v>75954.916717198299</v>
      </c>
      <c r="AJ89" s="109">
        <f t="shared" ca="1" si="63"/>
        <v>73009.02282220198</v>
      </c>
      <c r="AK89" s="109">
        <f t="shared" ca="1" si="63"/>
        <v>70004.211049305726</v>
      </c>
      <c r="AL89" s="109">
        <f t="shared" ca="1" si="63"/>
        <v>66939.303040951549</v>
      </c>
      <c r="AM89" s="109">
        <f t="shared" ca="1" si="63"/>
        <v>63813.09687243028</v>
      </c>
      <c r="AN89" s="109">
        <f t="shared" ca="1" si="63"/>
        <v>60624.366580538583</v>
      </c>
    </row>
    <row r="90" spans="3:40">
      <c r="G90" s="28" t="s">
        <v>474</v>
      </c>
      <c r="H90" s="79"/>
      <c r="I90" s="603">
        <v>80000</v>
      </c>
      <c r="J90" s="159">
        <f ca="1">I90/$G$38</f>
        <v>6666.666666666667</v>
      </c>
      <c r="P90" s="56"/>
      <c r="X90" s="843" t="s">
        <v>423</v>
      </c>
      <c r="Z90" s="109">
        <f ca="1">Z89*$S$61</f>
        <v>2000</v>
      </c>
      <c r="AA90" s="109">
        <f t="shared" ref="AA90:AN90" ca="1" si="64">AA89*$S$61</f>
        <v>1950.7001554131941</v>
      </c>
      <c r="AB90" s="109">
        <f t="shared" ca="1" si="64"/>
        <v>1900.4143139346525</v>
      </c>
      <c r="AC90" s="109">
        <f t="shared" ca="1" si="64"/>
        <v>1849.1227556265396</v>
      </c>
      <c r="AD90" s="109">
        <f t="shared" ca="1" si="64"/>
        <v>1796.8053661522645</v>
      </c>
      <c r="AE90" s="109">
        <f t="shared" ca="1" si="64"/>
        <v>1743.4416288885041</v>
      </c>
      <c r="AF90" s="109">
        <f t="shared" ca="1" si="64"/>
        <v>1689.0106168794682</v>
      </c>
      <c r="AG90" s="109">
        <f t="shared" ca="1" si="64"/>
        <v>1633.4909846302519</v>
      </c>
      <c r="AH90" s="109">
        <f t="shared" ca="1" si="64"/>
        <v>1576.860959736051</v>
      </c>
      <c r="AI90" s="109">
        <f t="shared" ca="1" si="64"/>
        <v>1519.0983343439659</v>
      </c>
      <c r="AJ90" s="109">
        <f t="shared" ca="1" si="64"/>
        <v>1460.1804564440397</v>
      </c>
      <c r="AK90" s="109">
        <f t="shared" ca="1" si="64"/>
        <v>1400.0842209861146</v>
      </c>
      <c r="AL90" s="109">
        <f t="shared" ca="1" si="64"/>
        <v>1338.786060819031</v>
      </c>
      <c r="AM90" s="109">
        <f t="shared" ca="1" si="64"/>
        <v>1276.2619374486055</v>
      </c>
      <c r="AN90" s="109">
        <f t="shared" ca="1" si="64"/>
        <v>1212.4873316107717</v>
      </c>
    </row>
    <row r="91" spans="3:40" ht="14.45" thickBot="1">
      <c r="G91" s="231" t="s">
        <v>475</v>
      </c>
      <c r="H91" s="232"/>
      <c r="I91" s="233">
        <f>I90</f>
        <v>80000</v>
      </c>
      <c r="J91" s="234">
        <f ca="1">J90</f>
        <v>6666.666666666667</v>
      </c>
      <c r="X91" s="842" t="s">
        <v>431</v>
      </c>
      <c r="Z91" s="109">
        <f ca="1">Z44</f>
        <v>4464.992229340296</v>
      </c>
      <c r="AA91" s="109">
        <f t="shared" ref="AA91:AN91" ca="1" si="65">AA44</f>
        <v>4464.992229340296</v>
      </c>
      <c r="AB91" s="109">
        <f t="shared" ca="1" si="65"/>
        <v>4464.992229340296</v>
      </c>
      <c r="AC91" s="109">
        <f t="shared" ca="1" si="65"/>
        <v>4464.992229340296</v>
      </c>
      <c r="AD91" s="109">
        <f t="shared" ca="1" si="65"/>
        <v>4464.992229340296</v>
      </c>
      <c r="AE91" s="109">
        <f t="shared" ca="1" si="65"/>
        <v>4464.992229340296</v>
      </c>
      <c r="AF91" s="109">
        <f t="shared" ca="1" si="65"/>
        <v>4464.992229340296</v>
      </c>
      <c r="AG91" s="109">
        <f t="shared" ca="1" si="65"/>
        <v>4464.992229340296</v>
      </c>
      <c r="AH91" s="109">
        <f t="shared" ca="1" si="65"/>
        <v>4464.992229340296</v>
      </c>
      <c r="AI91" s="109">
        <f t="shared" ca="1" si="65"/>
        <v>4464.992229340296</v>
      </c>
      <c r="AJ91" s="109">
        <f t="shared" ca="1" si="65"/>
        <v>4464.992229340296</v>
      </c>
      <c r="AK91" s="109">
        <f t="shared" ca="1" si="65"/>
        <v>4464.992229340296</v>
      </c>
      <c r="AL91" s="109">
        <f t="shared" ca="1" si="65"/>
        <v>4464.992229340296</v>
      </c>
      <c r="AM91" s="109">
        <f t="shared" ca="1" si="65"/>
        <v>4464.992229340296</v>
      </c>
      <c r="AN91" s="109">
        <f t="shared" ca="1" si="65"/>
        <v>4464.992229340296</v>
      </c>
    </row>
    <row r="92" spans="3:40" ht="14.45" thickTop="1">
      <c r="G92" s="67"/>
      <c r="H92" s="51"/>
      <c r="I92" s="179"/>
      <c r="J92" s="159"/>
      <c r="X92" s="846" t="s">
        <v>427</v>
      </c>
      <c r="Y92" s="827"/>
      <c r="Z92" s="485">
        <f ca="1">Z89+Z90-Z91</f>
        <v>97535.007770659708</v>
      </c>
      <c r="AA92" s="485">
        <f ca="1">AA89+AA90-AA91</f>
        <v>95020.715696732615</v>
      </c>
      <c r="AB92" s="485">
        <f t="shared" ref="AB92:AN92" ca="1" si="66">AB89+AB90-AB91</f>
        <v>92456.137781326979</v>
      </c>
      <c r="AC92" s="485">
        <f t="shared" ca="1" si="66"/>
        <v>89840.268307613223</v>
      </c>
      <c r="AD92" s="485">
        <f t="shared" ca="1" si="66"/>
        <v>87172.081444425203</v>
      </c>
      <c r="AE92" s="485">
        <f t="shared" ca="1" si="66"/>
        <v>84450.530843973407</v>
      </c>
      <c r="AF92" s="485">
        <f t="shared" ca="1" si="66"/>
        <v>81674.549231512588</v>
      </c>
      <c r="AG92" s="485">
        <f t="shared" ca="1" si="66"/>
        <v>78843.047986802543</v>
      </c>
      <c r="AH92" s="485">
        <f t="shared" ca="1" si="66"/>
        <v>75954.916717198299</v>
      </c>
      <c r="AI92" s="485">
        <f t="shared" ca="1" si="66"/>
        <v>73009.02282220198</v>
      </c>
      <c r="AJ92" s="485">
        <f t="shared" ca="1" si="66"/>
        <v>70004.211049305726</v>
      </c>
      <c r="AK92" s="485">
        <f t="shared" ca="1" si="66"/>
        <v>66939.303040951549</v>
      </c>
      <c r="AL92" s="485">
        <f t="shared" ca="1" si="66"/>
        <v>63813.09687243028</v>
      </c>
      <c r="AM92" s="485">
        <f t="shared" ca="1" si="66"/>
        <v>60624.366580538583</v>
      </c>
      <c r="AN92" s="485">
        <f t="shared" ca="1" si="66"/>
        <v>57371.86168280906</v>
      </c>
    </row>
    <row r="93" spans="3:40">
      <c r="G93" s="236" t="s">
        <v>425</v>
      </c>
      <c r="H93" s="237"/>
      <c r="I93" s="238">
        <f ca="1">SUM(I52,I60,I87,I91)</f>
        <v>9782171.2802249994</v>
      </c>
      <c r="J93" s="239">
        <f ca="1">SUM(J52,J60,J87,J91)</f>
        <v>815430.94001875003</v>
      </c>
      <c r="X93" s="34"/>
      <c r="Z93" s="4"/>
      <c r="AA93" s="5"/>
      <c r="AB93" s="5"/>
      <c r="AC93" s="34"/>
      <c r="AD93" s="34"/>
      <c r="AE93" s="34"/>
      <c r="AF93" s="34"/>
      <c r="AG93" s="34"/>
      <c r="AH93" s="34"/>
      <c r="AI93" s="34"/>
      <c r="AJ93" s="34"/>
      <c r="AK93" s="36"/>
      <c r="AL93" s="217"/>
    </row>
    <row r="94" spans="3:40">
      <c r="H94" s="51"/>
      <c r="X94" s="34"/>
      <c r="Z94" s="4"/>
      <c r="AA94" s="5"/>
      <c r="AB94" s="5"/>
      <c r="AC94" s="34"/>
      <c r="AD94" s="34"/>
      <c r="AE94" s="34"/>
      <c r="AF94" s="34"/>
      <c r="AG94" s="34"/>
      <c r="AH94" s="34"/>
      <c r="AI94" s="34"/>
      <c r="AJ94" s="34"/>
      <c r="AK94" s="36"/>
      <c r="AL94" s="217"/>
    </row>
    <row r="95" spans="3:40">
      <c r="X95" s="36"/>
      <c r="Z95" s="4"/>
      <c r="AA95" s="4"/>
      <c r="AB95" s="4"/>
      <c r="AC95" s="36"/>
      <c r="AD95" s="36"/>
      <c r="AE95" s="36"/>
      <c r="AF95" s="36"/>
      <c r="AG95" s="36"/>
      <c r="AH95" s="36"/>
      <c r="AI95" s="36"/>
      <c r="AJ95" s="36"/>
      <c r="AK95" s="34"/>
      <c r="AL95" s="34"/>
    </row>
    <row r="96" spans="3:40">
      <c r="G96" s="79"/>
      <c r="H96" s="240"/>
      <c r="I96" s="240"/>
      <c r="Y96" s="33"/>
      <c r="Z96" s="202"/>
      <c r="AA96" s="202"/>
      <c r="AB96" s="202"/>
    </row>
    <row r="97" spans="7:57" ht="17.45">
      <c r="G97" s="79"/>
      <c r="H97" s="240"/>
      <c r="I97" s="240"/>
      <c r="X97" s="451" t="s">
        <v>476</v>
      </c>
      <c r="Y97" s="452"/>
      <c r="Z97" s="452"/>
      <c r="AA97" s="452"/>
      <c r="AB97" s="452"/>
      <c r="AC97" s="452"/>
      <c r="AD97" s="452"/>
      <c r="AE97" s="452"/>
      <c r="AF97" s="453"/>
      <c r="AG97" s="452"/>
      <c r="AH97" s="452"/>
      <c r="AI97" s="452"/>
      <c r="AJ97" s="452"/>
      <c r="AK97" s="452"/>
      <c r="AL97" s="453"/>
      <c r="AM97" s="452"/>
      <c r="AN97" s="452"/>
      <c r="AO97" s="452"/>
      <c r="AP97" s="452"/>
      <c r="AQ97" s="452"/>
      <c r="AR97" s="453"/>
      <c r="AS97" s="452"/>
      <c r="AT97" s="452"/>
      <c r="AU97" s="452"/>
      <c r="AV97" s="452"/>
      <c r="AW97" s="452"/>
      <c r="AX97" s="453"/>
      <c r="AY97" s="452"/>
      <c r="AZ97" s="452"/>
      <c r="BA97" s="452"/>
      <c r="BB97" s="452"/>
      <c r="BC97" s="452"/>
      <c r="BD97" s="452"/>
      <c r="BE97" s="454"/>
    </row>
    <row r="98" spans="7:57">
      <c r="G98" s="79"/>
      <c r="H98" s="241"/>
      <c r="I98" s="241"/>
      <c r="X98" s="556" t="s">
        <v>477</v>
      </c>
      <c r="AA98" s="266" t="str" cm="1">
        <f t="array" ref="AA98:BD98">TRANSPOSE(K8:K37)</f>
        <v>0bd-50</v>
      </c>
      <c r="AB98" s="266" t="str">
        <v>0bd-60</v>
      </c>
      <c r="AC98" s="266" t="str">
        <v>0bd-80</v>
      </c>
      <c r="AD98" s="266" t="str">
        <v>0bd-100</v>
      </c>
      <c r="AE98" s="266" t="str">
        <v>0bd-120</v>
      </c>
      <c r="AF98" s="291" t="str">
        <v>0bd-mrkt</v>
      </c>
      <c r="AG98" s="266" t="str">
        <v>1bd-50</v>
      </c>
      <c r="AH98" s="266" t="str">
        <v>1bd-60</v>
      </c>
      <c r="AI98" s="266" t="str">
        <v>1bd-80</v>
      </c>
      <c r="AJ98" s="266" t="str">
        <v>1bd-100</v>
      </c>
      <c r="AK98" s="266" t="str">
        <v>1bd-120</v>
      </c>
      <c r="AL98" s="291" t="str">
        <v>1bd-mrkt</v>
      </c>
      <c r="AM98" s="266" t="str">
        <v>2bd-50</v>
      </c>
      <c r="AN98" s="266" t="str">
        <v>2bd-60</v>
      </c>
      <c r="AO98" s="266" t="str">
        <v>2bd-80</v>
      </c>
      <c r="AP98" s="266" t="str">
        <v>2bd-100</v>
      </c>
      <c r="AQ98" s="266" t="str">
        <v>2bd-120</v>
      </c>
      <c r="AR98" s="291" t="str">
        <v>2bd-mrkt</v>
      </c>
      <c r="AS98" s="266" t="str">
        <v>3bd-50</v>
      </c>
      <c r="AT98" s="266" t="str">
        <v>3bd-60</v>
      </c>
      <c r="AU98" s="266" t="str">
        <v>3bd-80</v>
      </c>
      <c r="AV98" s="266" t="str">
        <v>3bd-100</v>
      </c>
      <c r="AW98" s="266" t="str">
        <v>3bd-120</v>
      </c>
      <c r="AX98" s="291" t="str">
        <v>3bd-mrkt</v>
      </c>
      <c r="AY98" s="266" t="str">
        <v>4bd-50</v>
      </c>
      <c r="AZ98" s="266" t="str">
        <v>4bd-60</v>
      </c>
      <c r="BA98" s="266" t="str">
        <v>4bd-80</v>
      </c>
      <c r="BB98" s="266" t="str">
        <v>4bd-100</v>
      </c>
      <c r="BC98" s="266" t="str">
        <v>4bd-120</v>
      </c>
      <c r="BD98" s="266" t="str">
        <v>4bd-mrkt</v>
      </c>
      <c r="BE98" s="421"/>
    </row>
    <row r="99" spans="7:57" ht="21">
      <c r="G99" s="3"/>
      <c r="H99" s="3"/>
      <c r="I99" s="1"/>
      <c r="X99" s="538"/>
      <c r="Y99" s="9"/>
      <c r="Z99" s="519" t="s">
        <v>478</v>
      </c>
      <c r="AA99" s="160" t="str">
        <f t="shared" ref="AA99:BD99" ca="1" si="67">IF(_xlfn.XLOOKUP(AA98,$K$8:$K$37,$G$8:$G$37)&gt;0,$J$93,"")</f>
        <v/>
      </c>
      <c r="AB99" s="160" t="str">
        <f t="shared" ca="1" si="67"/>
        <v/>
      </c>
      <c r="AC99" s="160" t="str">
        <f t="shared" ca="1" si="67"/>
        <v/>
      </c>
      <c r="AD99" s="160" t="str">
        <f t="shared" ca="1" si="67"/>
        <v/>
      </c>
      <c r="AE99" s="160" t="str">
        <f t="shared" ca="1" si="67"/>
        <v/>
      </c>
      <c r="AF99" s="422" t="str">
        <f t="shared" ca="1" si="67"/>
        <v/>
      </c>
      <c r="AG99" s="160" t="str">
        <f t="shared" ca="1" si="67"/>
        <v/>
      </c>
      <c r="AH99" s="160" t="str">
        <f t="shared" ca="1" si="67"/>
        <v/>
      </c>
      <c r="AI99" s="160">
        <f t="shared" ca="1" si="67"/>
        <v>815430.94001875003</v>
      </c>
      <c r="AJ99" s="160" t="str">
        <f t="shared" ca="1" si="67"/>
        <v/>
      </c>
      <c r="AK99" s="160" t="str">
        <f t="shared" ca="1" si="67"/>
        <v/>
      </c>
      <c r="AL99" s="422" t="str">
        <f t="shared" ca="1" si="67"/>
        <v/>
      </c>
      <c r="AM99" s="160" t="str">
        <f t="shared" ca="1" si="67"/>
        <v/>
      </c>
      <c r="AN99" s="160" t="str">
        <f t="shared" ca="1" si="67"/>
        <v/>
      </c>
      <c r="AO99" s="160">
        <f t="shared" ca="1" si="67"/>
        <v>815430.94001875003</v>
      </c>
      <c r="AP99" s="160" t="str">
        <f t="shared" ca="1" si="67"/>
        <v/>
      </c>
      <c r="AQ99" s="160" t="str">
        <f t="shared" ca="1" si="67"/>
        <v/>
      </c>
      <c r="AR99" s="422" t="str">
        <f t="shared" ca="1" si="67"/>
        <v/>
      </c>
      <c r="AS99" s="160" t="str">
        <f t="shared" ca="1" si="67"/>
        <v/>
      </c>
      <c r="AT99" s="160" t="str">
        <f t="shared" ca="1" si="67"/>
        <v/>
      </c>
      <c r="AU99" s="160">
        <f t="shared" ca="1" si="67"/>
        <v>815430.94001875003</v>
      </c>
      <c r="AV99" s="160" t="str">
        <f t="shared" ca="1" si="67"/>
        <v/>
      </c>
      <c r="AW99" s="160" t="str">
        <f t="shared" ca="1" si="67"/>
        <v/>
      </c>
      <c r="AX99" s="422" t="str">
        <f t="shared" ca="1" si="67"/>
        <v/>
      </c>
      <c r="AY99" s="160" t="str">
        <f t="shared" ca="1" si="67"/>
        <v/>
      </c>
      <c r="AZ99" s="160" t="str">
        <f t="shared" ca="1" si="67"/>
        <v/>
      </c>
      <c r="BA99" s="160" t="str">
        <f t="shared" ca="1" si="67"/>
        <v/>
      </c>
      <c r="BB99" s="160" t="str">
        <f t="shared" ca="1" si="67"/>
        <v/>
      </c>
      <c r="BC99" s="160" t="str">
        <f t="shared" ca="1" si="67"/>
        <v/>
      </c>
      <c r="BD99" s="160" t="str">
        <f t="shared" ca="1" si="67"/>
        <v/>
      </c>
      <c r="BE99" s="536"/>
    </row>
    <row r="100" spans="7:57" ht="21">
      <c r="G100" s="3"/>
      <c r="H100" s="3"/>
      <c r="I100" s="1"/>
      <c r="X100" s="538"/>
      <c r="Y100" s="9"/>
      <c r="Z100" s="519" t="s">
        <v>479</v>
      </c>
      <c r="AA100" s="102" t="str">
        <f ca="1">IF(_xlfn.XLOOKUP(AA98,$K$8:$K$37,$G$8:$G$37)&gt;0,_xlfn.XLOOKUP(AA98,$K$8:$K$37,$L$8:$L$37)+1,"")</f>
        <v/>
      </c>
      <c r="AB100" s="102" t="str">
        <f t="shared" ref="AB100:BD100" ca="1" si="68">IF(_xlfn.XLOOKUP(AB98,$K$8:$K$37,$G$8:$G$37)&gt;0,_xlfn.XLOOKUP(AB98,$K$8:$K$37,$L$8:$L$37)+1,"")</f>
        <v/>
      </c>
      <c r="AC100" s="102" t="str">
        <f t="shared" ca="1" si="68"/>
        <v/>
      </c>
      <c r="AD100" s="102" t="str">
        <f t="shared" ca="1" si="68"/>
        <v/>
      </c>
      <c r="AE100" s="102" t="str">
        <f t="shared" ca="1" si="68"/>
        <v/>
      </c>
      <c r="AF100" s="293" t="str">
        <f t="shared" ca="1" si="68"/>
        <v/>
      </c>
      <c r="AG100" s="102" t="str">
        <f t="shared" ca="1" si="68"/>
        <v/>
      </c>
      <c r="AH100" s="102" t="str">
        <f t="shared" ca="1" si="68"/>
        <v/>
      </c>
      <c r="AI100" s="102">
        <f t="shared" ca="1" si="68"/>
        <v>2</v>
      </c>
      <c r="AJ100" s="102" t="str">
        <f t="shared" ca="1" si="68"/>
        <v/>
      </c>
      <c r="AK100" s="102" t="str">
        <f t="shared" ca="1" si="68"/>
        <v/>
      </c>
      <c r="AL100" s="293" t="str">
        <f t="shared" ca="1" si="68"/>
        <v/>
      </c>
      <c r="AM100" s="102" t="str">
        <f t="shared" ca="1" si="68"/>
        <v/>
      </c>
      <c r="AN100" s="102" t="str">
        <f t="shared" ca="1" si="68"/>
        <v/>
      </c>
      <c r="AO100" s="102">
        <f t="shared" ca="1" si="68"/>
        <v>3</v>
      </c>
      <c r="AP100" s="102" t="str">
        <f t="shared" ca="1" si="68"/>
        <v/>
      </c>
      <c r="AQ100" s="102" t="str">
        <f t="shared" ca="1" si="68"/>
        <v/>
      </c>
      <c r="AR100" s="293" t="str">
        <f t="shared" ca="1" si="68"/>
        <v/>
      </c>
      <c r="AS100" s="102" t="str">
        <f t="shared" ca="1" si="68"/>
        <v/>
      </c>
      <c r="AT100" s="102" t="str">
        <f t="shared" ca="1" si="68"/>
        <v/>
      </c>
      <c r="AU100" s="102">
        <f t="shared" ca="1" si="68"/>
        <v>4</v>
      </c>
      <c r="AV100" s="102" t="str">
        <f t="shared" ca="1" si="68"/>
        <v/>
      </c>
      <c r="AW100" s="102" t="str">
        <f t="shared" ca="1" si="68"/>
        <v/>
      </c>
      <c r="AX100" s="293" t="str">
        <f t="shared" ca="1" si="68"/>
        <v/>
      </c>
      <c r="AY100" s="102" t="str">
        <f t="shared" ca="1" si="68"/>
        <v/>
      </c>
      <c r="AZ100" s="102" t="str">
        <f t="shared" ca="1" si="68"/>
        <v/>
      </c>
      <c r="BA100" s="102" t="str">
        <f t="shared" ca="1" si="68"/>
        <v/>
      </c>
      <c r="BB100" s="102" t="str">
        <f t="shared" ca="1" si="68"/>
        <v/>
      </c>
      <c r="BC100" s="102" t="str">
        <f t="shared" ca="1" si="68"/>
        <v/>
      </c>
      <c r="BD100" s="102" t="str">
        <f t="shared" ca="1" si="68"/>
        <v/>
      </c>
      <c r="BE100" s="536"/>
    </row>
    <row r="101" spans="7:57" ht="27" customHeight="1">
      <c r="G101" s="79"/>
      <c r="H101" s="241"/>
      <c r="I101" s="241"/>
      <c r="X101" s="538"/>
      <c r="Y101" s="9"/>
      <c r="Z101" s="519" t="s">
        <v>480</v>
      </c>
      <c r="AA101" s="117" t="str">
        <f ca="1">IF(_xlfn.XLOOKUP(AA98,$K$8:$K$37,$G$8:$G$37)&gt;0,_xlfn.XLOOKUP(AA98,$K$8:$K$37,$M$8:$M$37),"")</f>
        <v/>
      </c>
      <c r="AB101" s="117" t="str">
        <f t="shared" ref="AB101:BD101" ca="1" si="69">IF(_xlfn.XLOOKUP(AB98,$K$8:$K$37,$G$8:$G$37)&gt;0,_xlfn.XLOOKUP(AB98,$K$8:$K$37,$M$8:$M$37),"")</f>
        <v/>
      </c>
      <c r="AC101" s="117" t="str">
        <f t="shared" ca="1" si="69"/>
        <v/>
      </c>
      <c r="AD101" s="117" t="str">
        <f t="shared" ca="1" si="69"/>
        <v/>
      </c>
      <c r="AE101" s="117" t="str">
        <f t="shared" ca="1" si="69"/>
        <v/>
      </c>
      <c r="AF101" s="294" t="str">
        <f t="shared" ca="1" si="69"/>
        <v/>
      </c>
      <c r="AG101" s="117" t="str">
        <f t="shared" ca="1" si="69"/>
        <v/>
      </c>
      <c r="AH101" s="117" t="str">
        <f t="shared" ca="1" si="69"/>
        <v/>
      </c>
      <c r="AI101" s="117">
        <f t="shared" ca="1" si="69"/>
        <v>0.8</v>
      </c>
      <c r="AJ101" s="117" t="str">
        <f t="shared" ca="1" si="69"/>
        <v/>
      </c>
      <c r="AK101" s="117" t="str">
        <f t="shared" ca="1" si="69"/>
        <v/>
      </c>
      <c r="AL101" s="294" t="str">
        <f t="shared" ca="1" si="69"/>
        <v/>
      </c>
      <c r="AM101" s="117" t="str">
        <f t="shared" ca="1" si="69"/>
        <v/>
      </c>
      <c r="AN101" s="117" t="str">
        <f t="shared" ca="1" si="69"/>
        <v/>
      </c>
      <c r="AO101" s="117">
        <f t="shared" ca="1" si="69"/>
        <v>0.8</v>
      </c>
      <c r="AP101" s="117" t="str">
        <f t="shared" ca="1" si="69"/>
        <v/>
      </c>
      <c r="AQ101" s="117" t="str">
        <f t="shared" ca="1" si="69"/>
        <v/>
      </c>
      <c r="AR101" s="294" t="str">
        <f t="shared" ca="1" si="69"/>
        <v/>
      </c>
      <c r="AS101" s="117" t="str">
        <f t="shared" ca="1" si="69"/>
        <v/>
      </c>
      <c r="AT101" s="117" t="str">
        <f t="shared" ca="1" si="69"/>
        <v/>
      </c>
      <c r="AU101" s="117">
        <f t="shared" ca="1" si="69"/>
        <v>0.8</v>
      </c>
      <c r="AV101" s="117" t="str">
        <f t="shared" ca="1" si="69"/>
        <v/>
      </c>
      <c r="AW101" s="117" t="str">
        <f t="shared" ca="1" si="69"/>
        <v/>
      </c>
      <c r="AX101" s="294" t="str">
        <f t="shared" ca="1" si="69"/>
        <v/>
      </c>
      <c r="AY101" s="117" t="str">
        <f t="shared" ca="1" si="69"/>
        <v/>
      </c>
      <c r="AZ101" s="117" t="str">
        <f t="shared" ca="1" si="69"/>
        <v/>
      </c>
      <c r="BA101" s="117" t="str">
        <f t="shared" ca="1" si="69"/>
        <v/>
      </c>
      <c r="BB101" s="117" t="str">
        <f t="shared" ca="1" si="69"/>
        <v/>
      </c>
      <c r="BC101" s="117" t="str">
        <f t="shared" ca="1" si="69"/>
        <v/>
      </c>
      <c r="BD101" s="117" t="str">
        <f t="shared" ca="1" si="69"/>
        <v/>
      </c>
      <c r="BE101" s="536"/>
    </row>
    <row r="102" spans="7:57" ht="27.6">
      <c r="G102" s="242"/>
      <c r="H102" s="241"/>
      <c r="I102" s="241"/>
      <c r="X102" s="538"/>
      <c r="Y102" s="9"/>
      <c r="Z102" s="519" t="s">
        <v>481</v>
      </c>
      <c r="AA102" s="160" t="str">
        <f ca="1">IF(_xlfn.XLOOKUP(AA98,$K$8:$K$37,$G$8:$G$37)&gt;0,VLOOKUP(AA101,'Income Limits (Reference Tab)'!$B$13:$G$19,AA100+1),"")</f>
        <v/>
      </c>
      <c r="AB102" s="160" t="str">
        <f ca="1">IF(_xlfn.XLOOKUP(AB98,$K$8:$K$37,$G$8:$G$37)&gt;0,VLOOKUP(AB101,'Income Limits (Reference Tab)'!$B$13:$G$19,AB100+1),"")</f>
        <v/>
      </c>
      <c r="AC102" s="160" t="str">
        <f ca="1">IF(_xlfn.XLOOKUP(AC98,$K$8:$K$37,$G$8:$G$37)&gt;0,VLOOKUP(AC101,'Income Limits (Reference Tab)'!$B$13:$G$19,AC100+1),"")</f>
        <v/>
      </c>
      <c r="AD102" s="160" t="str">
        <f ca="1">IF(_xlfn.XLOOKUP(AD98,$K$8:$K$37,$G$8:$G$37)&gt;0,VLOOKUP(AD101,'Income Limits (Reference Tab)'!$B$13:$G$19,AD100+1),"")</f>
        <v/>
      </c>
      <c r="AE102" s="160" t="str">
        <f ca="1">IF(_xlfn.XLOOKUP(AE98,$K$8:$K$37,$G$8:$G$37)&gt;0,VLOOKUP(AE101,'Income Limits (Reference Tab)'!$B$13:$G$19,AE100+1),"")</f>
        <v/>
      </c>
      <c r="AF102" s="292" t="str">
        <f ca="1">IF(_xlfn.XLOOKUP(AF98,$K$8:$K$37,$G$8:$G$37)&gt;0,VLOOKUP(AF101,'Income Limits (Reference Tab)'!$B$13:$G$19,AF100+1),"")</f>
        <v/>
      </c>
      <c r="AG102" s="160" t="str">
        <f ca="1">IF(_xlfn.XLOOKUP(AG98,$K$8:$K$37,$G$8:$G$37)&gt;0,VLOOKUP(AG101,'Income Limits (Reference Tab)'!$B$13:$G$19,AG100+1),"")</f>
        <v/>
      </c>
      <c r="AH102" s="160" t="str">
        <f ca="1">IF(_xlfn.XLOOKUP(AH98,$K$8:$K$37,$G$8:$G$37)&gt;0,VLOOKUP(AH101,'Income Limits (Reference Tab)'!$B$13:$G$19,AH100+1),"")</f>
        <v/>
      </c>
      <c r="AI102" s="160">
        <f ca="1">IF(_xlfn.XLOOKUP(AI98,$K$8:$K$37,$G$8:$G$37)&gt;0,VLOOKUP(AI101,'Income Limits (Reference Tab)'!$B$13:$G$19,AI100+1),"")</f>
        <v>74880</v>
      </c>
      <c r="AJ102" s="160" t="str">
        <f ca="1">IF(_xlfn.XLOOKUP(AJ98,$K$8:$K$37,$G$8:$G$37)&gt;0,VLOOKUP(AJ101,'Income Limits (Reference Tab)'!$B$13:$G$19,AJ100+1),"")</f>
        <v/>
      </c>
      <c r="AK102" s="160" t="str">
        <f ca="1">IF(_xlfn.XLOOKUP(AK98,$K$8:$K$37,$G$8:$G$37)&gt;0,VLOOKUP(AK101,'Income Limits (Reference Tab)'!$B$13:$G$19,AK100+1),"")</f>
        <v/>
      </c>
      <c r="AL102" s="292" t="str">
        <f ca="1">IF(_xlfn.XLOOKUP(AL98,$K$8:$K$37,$G$8:$G$37)&gt;0,VLOOKUP(AL101,'Income Limits (Reference Tab)'!$B$13:$G$19,AL100+1),"")</f>
        <v/>
      </c>
      <c r="AM102" s="160" t="str">
        <f ca="1">IF(_xlfn.XLOOKUP(AM98,$K$8:$K$37,$G$8:$G$37)&gt;0,VLOOKUP(AM101,'Income Limits (Reference Tab)'!$B$13:$G$19,AM100+1),"")</f>
        <v/>
      </c>
      <c r="AN102" s="160" t="str">
        <f ca="1">IF(_xlfn.XLOOKUP(AN98,$K$8:$K$37,$G$8:$G$37)&gt;0,VLOOKUP(AN101,'Income Limits (Reference Tab)'!$B$13:$G$19,AN100+1),"")</f>
        <v/>
      </c>
      <c r="AO102" s="160">
        <f ca="1">IF(_xlfn.XLOOKUP(AO98,$K$8:$K$37,$G$8:$G$37)&gt;0,VLOOKUP(AO101,'Income Limits (Reference Tab)'!$B$13:$G$19,AO100+1),"")</f>
        <v>84160</v>
      </c>
      <c r="AP102" s="160" t="str">
        <f ca="1">IF(_xlfn.XLOOKUP(AP98,$K$8:$K$37,$G$8:$G$37)&gt;0,VLOOKUP(AP101,'Income Limits (Reference Tab)'!$B$13:$G$19,AP100+1),"")</f>
        <v/>
      </c>
      <c r="AQ102" s="160" t="str">
        <f ca="1">IF(_xlfn.XLOOKUP(AQ98,$K$8:$K$37,$G$8:$G$37)&gt;0,VLOOKUP(AQ101,'Income Limits (Reference Tab)'!$B$13:$G$19,AQ100+1),"")</f>
        <v/>
      </c>
      <c r="AR102" s="292" t="str">
        <f ca="1">IF(_xlfn.XLOOKUP(AR98,$K$8:$K$37,$G$8:$G$37)&gt;0,VLOOKUP(AR101,'Income Limits (Reference Tab)'!$B$13:$G$19,AR100+1),"")</f>
        <v/>
      </c>
      <c r="AS102" s="160" t="str">
        <f ca="1">IF(_xlfn.XLOOKUP(AS98,$K$8:$K$37,$G$8:$G$37)&gt;0,VLOOKUP(AS101,'Income Limits (Reference Tab)'!$B$13:$G$19,AS100+1),"")</f>
        <v/>
      </c>
      <c r="AT102" s="160" t="str">
        <f ca="1">IF(_xlfn.XLOOKUP(AT98,$K$8:$K$37,$G$8:$G$37)&gt;0,VLOOKUP(AT101,'Income Limits (Reference Tab)'!$B$13:$G$19,AT100+1),"")</f>
        <v/>
      </c>
      <c r="AU102" s="160">
        <f ca="1">IF(_xlfn.XLOOKUP(AU98,$K$8:$K$37,$G$8:$G$37)&gt;0,VLOOKUP(AU101,'Income Limits (Reference Tab)'!$B$13:$G$19,AU100+1),"")</f>
        <v>93520</v>
      </c>
      <c r="AV102" s="160" t="str">
        <f ca="1">IF(_xlfn.XLOOKUP(AV98,$K$8:$K$37,$G$8:$G$37)&gt;0,VLOOKUP(AV101,'Income Limits (Reference Tab)'!$B$13:$G$19,AV100+1),"")</f>
        <v/>
      </c>
      <c r="AW102" s="160" t="str">
        <f ca="1">IF(_xlfn.XLOOKUP(AW98,$K$8:$K$37,$G$8:$G$37)&gt;0,VLOOKUP(AW101,'Income Limits (Reference Tab)'!$B$13:$G$19,AW100+1),"")</f>
        <v/>
      </c>
      <c r="AX102" s="292" t="str">
        <f ca="1">IF(_xlfn.XLOOKUP(AX98,$K$8:$K$37,$G$8:$G$37)&gt;0,VLOOKUP(AX101,'Income Limits (Reference Tab)'!$B$13:$G$19,AX100+1),"")</f>
        <v/>
      </c>
      <c r="AY102" s="160" t="str">
        <f ca="1">IF(_xlfn.XLOOKUP(AY98,$K$8:$K$37,$G$8:$G$37)&gt;0,VLOOKUP(AY101,'Income Limits (Reference Tab)'!$B$13:$G$19,AY100+1),"")</f>
        <v/>
      </c>
      <c r="AZ102" s="160" t="str">
        <f ca="1">IF(_xlfn.XLOOKUP(AZ98,$K$8:$K$37,$G$8:$G$37)&gt;0,VLOOKUP(AZ101,'Income Limits (Reference Tab)'!$B$13:$G$19,AZ100+1),"")</f>
        <v/>
      </c>
      <c r="BA102" s="160" t="str">
        <f ca="1">IF(_xlfn.XLOOKUP(BA98,$K$8:$K$37,$G$8:$G$37)&gt;0,VLOOKUP(BA101,'Income Limits (Reference Tab)'!$B$13:$G$19,BA100+1),"")</f>
        <v/>
      </c>
      <c r="BB102" s="160" t="str">
        <f ca="1">IF(_xlfn.XLOOKUP(BB98,$K$8:$K$37,$G$8:$G$37)&gt;0,VLOOKUP(BB101,'Income Limits (Reference Tab)'!$B$13:$G$19,BB100+1),"")</f>
        <v/>
      </c>
      <c r="BC102" s="160" t="str">
        <f ca="1">IF(_xlfn.XLOOKUP(BC98,$K$8:$K$37,$G$8:$G$37)&gt;0,VLOOKUP(BC101,'Income Limits (Reference Tab)'!$B$13:$G$19,BC100+1),"")</f>
        <v/>
      </c>
      <c r="BD102" s="160" t="str">
        <f ca="1">IF(_xlfn.XLOOKUP(BD98,$K$8:$K$37,$G$8:$G$37)&gt;0,VLOOKUP(BD101,'Income Limits (Reference Tab)'!$B$13:$G$19,BD100+1),"")</f>
        <v/>
      </c>
      <c r="BE102" s="114"/>
    </row>
    <row r="103" spans="7:57" ht="27.6">
      <c r="G103" s="79"/>
      <c r="H103" s="243"/>
      <c r="I103" s="243"/>
      <c r="X103" s="539" t="s">
        <v>482</v>
      </c>
      <c r="Y103" s="677">
        <v>0.3</v>
      </c>
      <c r="Z103" s="519" t="s">
        <v>483</v>
      </c>
      <c r="AA103" s="160" t="str">
        <f t="shared" ref="AA103:BD103" ca="1" si="70">IFERROR($Y$103*AA102,"")</f>
        <v/>
      </c>
      <c r="AB103" s="160" t="str">
        <f t="shared" ca="1" si="70"/>
        <v/>
      </c>
      <c r="AC103" s="160" t="str">
        <f t="shared" ca="1" si="70"/>
        <v/>
      </c>
      <c r="AD103" s="160" t="str">
        <f t="shared" ca="1" si="70"/>
        <v/>
      </c>
      <c r="AE103" s="160" t="str">
        <f t="shared" ca="1" si="70"/>
        <v/>
      </c>
      <c r="AF103" s="292" t="str">
        <f t="shared" ca="1" si="70"/>
        <v/>
      </c>
      <c r="AG103" s="160" t="str">
        <f t="shared" ca="1" si="70"/>
        <v/>
      </c>
      <c r="AH103" s="160" t="str">
        <f t="shared" ca="1" si="70"/>
        <v/>
      </c>
      <c r="AI103" s="160">
        <f t="shared" ca="1" si="70"/>
        <v>22464</v>
      </c>
      <c r="AJ103" s="160" t="str">
        <f t="shared" ca="1" si="70"/>
        <v/>
      </c>
      <c r="AK103" s="160" t="str">
        <f t="shared" ca="1" si="70"/>
        <v/>
      </c>
      <c r="AL103" s="292" t="str">
        <f t="shared" ca="1" si="70"/>
        <v/>
      </c>
      <c r="AM103" s="160" t="str">
        <f t="shared" ca="1" si="70"/>
        <v/>
      </c>
      <c r="AN103" s="160" t="str">
        <f t="shared" ca="1" si="70"/>
        <v/>
      </c>
      <c r="AO103" s="160">
        <f t="shared" ca="1" si="70"/>
        <v>25248</v>
      </c>
      <c r="AP103" s="160" t="str">
        <f t="shared" ca="1" si="70"/>
        <v/>
      </c>
      <c r="AQ103" s="160" t="str">
        <f t="shared" ca="1" si="70"/>
        <v/>
      </c>
      <c r="AR103" s="292" t="str">
        <f t="shared" ca="1" si="70"/>
        <v/>
      </c>
      <c r="AS103" s="160" t="str">
        <f t="shared" ca="1" si="70"/>
        <v/>
      </c>
      <c r="AT103" s="160" t="str">
        <f t="shared" ca="1" si="70"/>
        <v/>
      </c>
      <c r="AU103" s="160">
        <f t="shared" ca="1" si="70"/>
        <v>28056</v>
      </c>
      <c r="AV103" s="160" t="str">
        <f t="shared" ca="1" si="70"/>
        <v/>
      </c>
      <c r="AW103" s="160" t="str">
        <f t="shared" ca="1" si="70"/>
        <v/>
      </c>
      <c r="AX103" s="292" t="str">
        <f t="shared" ca="1" si="70"/>
        <v/>
      </c>
      <c r="AY103" s="160" t="str">
        <f t="shared" ca="1" si="70"/>
        <v/>
      </c>
      <c r="AZ103" s="160" t="str">
        <f t="shared" ca="1" si="70"/>
        <v/>
      </c>
      <c r="BA103" s="160" t="str">
        <f t="shared" ca="1" si="70"/>
        <v/>
      </c>
      <c r="BB103" s="160" t="str">
        <f t="shared" ca="1" si="70"/>
        <v/>
      </c>
      <c r="BC103" s="160" t="str">
        <f t="shared" ca="1" si="70"/>
        <v/>
      </c>
      <c r="BD103" s="160" t="str">
        <f t="shared" ca="1" si="70"/>
        <v/>
      </c>
      <c r="BE103" s="114"/>
    </row>
    <row r="104" spans="7:57" ht="27.6">
      <c r="G104" s="79"/>
      <c r="H104" s="243"/>
      <c r="I104" s="243"/>
      <c r="X104" s="540"/>
      <c r="Y104" s="9"/>
      <c r="Z104" s="542" t="s">
        <v>484</v>
      </c>
      <c r="AA104" s="275" t="str">
        <f ca="1">IFERROR(AA103/12,"")</f>
        <v/>
      </c>
      <c r="AB104" s="275" t="str">
        <f t="shared" ref="AB104:BD104" ca="1" si="71">IFERROR(AB103/12,"")</f>
        <v/>
      </c>
      <c r="AC104" s="275" t="str">
        <f t="shared" ca="1" si="71"/>
        <v/>
      </c>
      <c r="AD104" s="275" t="str">
        <f t="shared" ca="1" si="71"/>
        <v/>
      </c>
      <c r="AE104" s="275" t="str">
        <f t="shared" ca="1" si="71"/>
        <v/>
      </c>
      <c r="AF104" s="275" t="str">
        <f t="shared" ca="1" si="71"/>
        <v/>
      </c>
      <c r="AG104" s="275" t="str">
        <f t="shared" ca="1" si="71"/>
        <v/>
      </c>
      <c r="AH104" s="275" t="str">
        <f t="shared" ca="1" si="71"/>
        <v/>
      </c>
      <c r="AI104" s="275">
        <f t="shared" ca="1" si="71"/>
        <v>1872</v>
      </c>
      <c r="AJ104" s="275" t="str">
        <f t="shared" ca="1" si="71"/>
        <v/>
      </c>
      <c r="AK104" s="275" t="str">
        <f t="shared" ca="1" si="71"/>
        <v/>
      </c>
      <c r="AL104" s="275" t="str">
        <f t="shared" ca="1" si="71"/>
        <v/>
      </c>
      <c r="AM104" s="275" t="str">
        <f t="shared" ca="1" si="71"/>
        <v/>
      </c>
      <c r="AN104" s="275" t="str">
        <f t="shared" ca="1" si="71"/>
        <v/>
      </c>
      <c r="AO104" s="275">
        <f t="shared" ca="1" si="71"/>
        <v>2104</v>
      </c>
      <c r="AP104" s="275" t="str">
        <f t="shared" ca="1" si="71"/>
        <v/>
      </c>
      <c r="AQ104" s="275" t="str">
        <f t="shared" ca="1" si="71"/>
        <v/>
      </c>
      <c r="AR104" s="275" t="str">
        <f t="shared" ca="1" si="71"/>
        <v/>
      </c>
      <c r="AS104" s="275" t="str">
        <f t="shared" ca="1" si="71"/>
        <v/>
      </c>
      <c r="AT104" s="275" t="str">
        <f t="shared" ca="1" si="71"/>
        <v/>
      </c>
      <c r="AU104" s="275">
        <f t="shared" ca="1" si="71"/>
        <v>2338</v>
      </c>
      <c r="AV104" s="275" t="str">
        <f t="shared" ca="1" si="71"/>
        <v/>
      </c>
      <c r="AW104" s="275" t="str">
        <f t="shared" ca="1" si="71"/>
        <v/>
      </c>
      <c r="AX104" s="275" t="str">
        <f t="shared" ca="1" si="71"/>
        <v/>
      </c>
      <c r="AY104" s="275" t="str">
        <f t="shared" ca="1" si="71"/>
        <v/>
      </c>
      <c r="AZ104" s="275" t="str">
        <f t="shared" ca="1" si="71"/>
        <v/>
      </c>
      <c r="BA104" s="275" t="str">
        <f t="shared" ca="1" si="71"/>
        <v/>
      </c>
      <c r="BB104" s="275" t="str">
        <f t="shared" ca="1" si="71"/>
        <v/>
      </c>
      <c r="BC104" s="275" t="str">
        <f t="shared" ca="1" si="71"/>
        <v/>
      </c>
      <c r="BD104" s="275" t="str">
        <f t="shared" ca="1" si="71"/>
        <v/>
      </c>
      <c r="BE104" s="114"/>
    </row>
    <row r="105" spans="7:57" ht="14.45">
      <c r="G105" s="79"/>
      <c r="H105" s="243"/>
      <c r="I105" s="243"/>
      <c r="S105" s="56"/>
      <c r="X105" s="539"/>
      <c r="Y105"/>
      <c r="AA105" s="102"/>
      <c r="AB105" s="102"/>
      <c r="AC105" s="160" t="str">
        <f t="shared" ref="AC105:BD105" ca="1" si="72">IF(_xlfn.XLOOKUP(AC98,$K$8:$K$37,$G$8:$G$37)&gt;0,$Y105*_xlfn.XLOOKUP(AC$98,$K$8:$K$37,$N$8:$N$37),"")</f>
        <v/>
      </c>
      <c r="AD105" s="160" t="str">
        <f t="shared" ca="1" si="72"/>
        <v/>
      </c>
      <c r="AE105" s="160" t="str">
        <f t="shared" ca="1" si="72"/>
        <v/>
      </c>
      <c r="AF105" s="292" t="str">
        <f t="shared" ca="1" si="72"/>
        <v/>
      </c>
      <c r="AG105" s="160" t="str">
        <f t="shared" ca="1" si="72"/>
        <v/>
      </c>
      <c r="AH105" s="160" t="str">
        <f t="shared" ca="1" si="72"/>
        <v/>
      </c>
      <c r="AI105" s="160">
        <f t="shared" ca="1" si="72"/>
        <v>0</v>
      </c>
      <c r="AJ105" s="160" t="str">
        <f t="shared" ca="1" si="72"/>
        <v/>
      </c>
      <c r="AK105" s="160" t="str">
        <f t="shared" ca="1" si="72"/>
        <v/>
      </c>
      <c r="AL105" s="292" t="str">
        <f t="shared" ca="1" si="72"/>
        <v/>
      </c>
      <c r="AM105" s="160" t="str">
        <f t="shared" ca="1" si="72"/>
        <v/>
      </c>
      <c r="AN105" s="160" t="str">
        <f t="shared" ca="1" si="72"/>
        <v/>
      </c>
      <c r="AO105" s="160">
        <f t="shared" ca="1" si="72"/>
        <v>0</v>
      </c>
      <c r="AP105" s="160" t="str">
        <f t="shared" ca="1" si="72"/>
        <v/>
      </c>
      <c r="AQ105" s="160" t="str">
        <f t="shared" ca="1" si="72"/>
        <v/>
      </c>
      <c r="AR105" s="292" t="str">
        <f t="shared" ca="1" si="72"/>
        <v/>
      </c>
      <c r="AS105" s="160" t="str">
        <f t="shared" ca="1" si="72"/>
        <v/>
      </c>
      <c r="AT105" s="160" t="str">
        <f t="shared" ca="1" si="72"/>
        <v/>
      </c>
      <c r="AU105" s="160">
        <f t="shared" ca="1" si="72"/>
        <v>0</v>
      </c>
      <c r="AV105" s="160" t="str">
        <f t="shared" ca="1" si="72"/>
        <v/>
      </c>
      <c r="AW105" s="160" t="str">
        <f t="shared" ca="1" si="72"/>
        <v/>
      </c>
      <c r="AX105" s="292" t="str">
        <f t="shared" ca="1" si="72"/>
        <v/>
      </c>
      <c r="AY105" s="160" t="str">
        <f t="shared" ca="1" si="72"/>
        <v/>
      </c>
      <c r="AZ105" s="160" t="str">
        <f t="shared" ca="1" si="72"/>
        <v/>
      </c>
      <c r="BA105" s="160" t="str">
        <f t="shared" ca="1" si="72"/>
        <v/>
      </c>
      <c r="BB105" s="160" t="str">
        <f t="shared" ca="1" si="72"/>
        <v/>
      </c>
      <c r="BC105" s="160" t="str">
        <f t="shared" ca="1" si="72"/>
        <v/>
      </c>
      <c r="BD105" s="160" t="str">
        <f t="shared" ca="1" si="72"/>
        <v/>
      </c>
      <c r="BE105" s="114"/>
    </row>
    <row r="106" spans="7:57" ht="27.6">
      <c r="G106" s="79"/>
      <c r="H106" s="243"/>
      <c r="I106" s="243"/>
      <c r="X106" s="539"/>
      <c r="Y106"/>
      <c r="Z106" s="519" t="s">
        <v>485</v>
      </c>
      <c r="AA106" s="160" t="str">
        <f t="shared" ref="AA106:BD106" ca="1" si="73">IF(_xlfn.XLOOKUP(AA98,$K$8:$K$37,$G$8:$G$37)&gt;0,$Z$22/$G$38,"")</f>
        <v/>
      </c>
      <c r="AB106" s="160" t="str">
        <f t="shared" ca="1" si="73"/>
        <v/>
      </c>
      <c r="AC106" s="160" t="str">
        <f t="shared" ca="1" si="73"/>
        <v/>
      </c>
      <c r="AD106" s="160" t="str">
        <f t="shared" ca="1" si="73"/>
        <v/>
      </c>
      <c r="AE106" s="160" t="str">
        <f t="shared" ca="1" si="73"/>
        <v/>
      </c>
      <c r="AF106" s="160" t="str">
        <f t="shared" ca="1" si="73"/>
        <v/>
      </c>
      <c r="AG106" s="160" t="str">
        <f t="shared" ca="1" si="73"/>
        <v/>
      </c>
      <c r="AH106" s="160" t="str">
        <f t="shared" ca="1" si="73"/>
        <v/>
      </c>
      <c r="AI106" s="160">
        <f t="shared" ca="1" si="73"/>
        <v>16766.174933333332</v>
      </c>
      <c r="AJ106" s="160" t="str">
        <f t="shared" ca="1" si="73"/>
        <v/>
      </c>
      <c r="AK106" s="160" t="str">
        <f t="shared" ca="1" si="73"/>
        <v/>
      </c>
      <c r="AL106" s="160" t="str">
        <f t="shared" ca="1" si="73"/>
        <v/>
      </c>
      <c r="AM106" s="160" t="str">
        <f t="shared" ca="1" si="73"/>
        <v/>
      </c>
      <c r="AN106" s="160" t="str">
        <f t="shared" ca="1" si="73"/>
        <v/>
      </c>
      <c r="AO106" s="160">
        <f t="shared" ca="1" si="73"/>
        <v>16766.174933333332</v>
      </c>
      <c r="AP106" s="160" t="str">
        <f t="shared" ca="1" si="73"/>
        <v/>
      </c>
      <c r="AQ106" s="160" t="str">
        <f t="shared" ca="1" si="73"/>
        <v/>
      </c>
      <c r="AR106" s="160" t="str">
        <f t="shared" ca="1" si="73"/>
        <v/>
      </c>
      <c r="AS106" s="160" t="str">
        <f t="shared" ca="1" si="73"/>
        <v/>
      </c>
      <c r="AT106" s="160" t="str">
        <f t="shared" ca="1" si="73"/>
        <v/>
      </c>
      <c r="AU106" s="160">
        <f t="shared" ca="1" si="73"/>
        <v>16766.174933333332</v>
      </c>
      <c r="AV106" s="160" t="str">
        <f t="shared" ca="1" si="73"/>
        <v/>
      </c>
      <c r="AW106" s="160" t="str">
        <f t="shared" ca="1" si="73"/>
        <v/>
      </c>
      <c r="AX106" s="160" t="str">
        <f t="shared" ca="1" si="73"/>
        <v/>
      </c>
      <c r="AY106" s="160" t="str">
        <f t="shared" ca="1" si="73"/>
        <v/>
      </c>
      <c r="AZ106" s="160" t="str">
        <f t="shared" ca="1" si="73"/>
        <v/>
      </c>
      <c r="BA106" s="160" t="str">
        <f t="shared" ca="1" si="73"/>
        <v/>
      </c>
      <c r="BB106" s="160" t="str">
        <f t="shared" ca="1" si="73"/>
        <v/>
      </c>
      <c r="BC106" s="160" t="str">
        <f t="shared" ca="1" si="73"/>
        <v/>
      </c>
      <c r="BD106" s="160" t="str">
        <f t="shared" ca="1" si="73"/>
        <v/>
      </c>
      <c r="BE106" s="114"/>
    </row>
    <row r="107" spans="7:57" ht="27.6">
      <c r="G107" s="242"/>
      <c r="H107" s="243"/>
      <c r="I107" s="243"/>
      <c r="R107" s="111"/>
      <c r="X107" s="539"/>
      <c r="Y107"/>
      <c r="Z107" s="519" t="s">
        <v>486</v>
      </c>
      <c r="AA107" s="160" t="str">
        <f t="shared" ref="AA107:BD107" ca="1" si="74">IF(_xlfn.XLOOKUP(AA98,$K$8:$K$37,$G$8:$G$37)&gt;0,SUM($AC$37,$AC$42,$AC$44)/$G$38,"")</f>
        <v/>
      </c>
      <c r="AB107" s="160" t="str">
        <f t="shared" ca="1" si="74"/>
        <v/>
      </c>
      <c r="AC107" s="160" t="str">
        <f t="shared" ca="1" si="74"/>
        <v/>
      </c>
      <c r="AD107" s="160" t="str">
        <f t="shared" ca="1" si="74"/>
        <v/>
      </c>
      <c r="AE107" s="160" t="str">
        <f t="shared" ca="1" si="74"/>
        <v/>
      </c>
      <c r="AF107" s="160" t="str">
        <f t="shared" ca="1" si="74"/>
        <v/>
      </c>
      <c r="AG107" s="160" t="str">
        <f t="shared" ca="1" si="74"/>
        <v/>
      </c>
      <c r="AH107" s="160" t="str">
        <f t="shared" ca="1" si="74"/>
        <v/>
      </c>
      <c r="AI107" s="160">
        <f t="shared" ca="1" si="74"/>
        <v>10919.697786193216</v>
      </c>
      <c r="AJ107" s="160" t="str">
        <f t="shared" ca="1" si="74"/>
        <v/>
      </c>
      <c r="AK107" s="160" t="str">
        <f t="shared" ca="1" si="74"/>
        <v/>
      </c>
      <c r="AL107" s="160" t="str">
        <f t="shared" ca="1" si="74"/>
        <v/>
      </c>
      <c r="AM107" s="160" t="str">
        <f t="shared" ca="1" si="74"/>
        <v/>
      </c>
      <c r="AN107" s="160" t="str">
        <f t="shared" ca="1" si="74"/>
        <v/>
      </c>
      <c r="AO107" s="160">
        <f t="shared" ca="1" si="74"/>
        <v>10919.697786193216</v>
      </c>
      <c r="AP107" s="160" t="str">
        <f t="shared" ca="1" si="74"/>
        <v/>
      </c>
      <c r="AQ107" s="160" t="str">
        <f t="shared" ca="1" si="74"/>
        <v/>
      </c>
      <c r="AR107" s="160" t="str">
        <f t="shared" ca="1" si="74"/>
        <v/>
      </c>
      <c r="AS107" s="160" t="str">
        <f t="shared" ca="1" si="74"/>
        <v/>
      </c>
      <c r="AT107" s="160" t="str">
        <f t="shared" ca="1" si="74"/>
        <v/>
      </c>
      <c r="AU107" s="160">
        <f t="shared" ca="1" si="74"/>
        <v>10919.697786193216</v>
      </c>
      <c r="AV107" s="160" t="str">
        <f t="shared" ca="1" si="74"/>
        <v/>
      </c>
      <c r="AW107" s="160" t="str">
        <f t="shared" ca="1" si="74"/>
        <v/>
      </c>
      <c r="AX107" s="160" t="str">
        <f t="shared" ca="1" si="74"/>
        <v/>
      </c>
      <c r="AY107" s="160" t="str">
        <f t="shared" ca="1" si="74"/>
        <v/>
      </c>
      <c r="AZ107" s="160" t="str">
        <f t="shared" ca="1" si="74"/>
        <v/>
      </c>
      <c r="BA107" s="160" t="str">
        <f t="shared" ca="1" si="74"/>
        <v/>
      </c>
      <c r="BB107" s="160" t="str">
        <f t="shared" ca="1" si="74"/>
        <v/>
      </c>
      <c r="BC107" s="160" t="str">
        <f t="shared" ca="1" si="74"/>
        <v/>
      </c>
      <c r="BD107" s="160" t="str">
        <f t="shared" ca="1" si="74"/>
        <v/>
      </c>
      <c r="BE107" s="114"/>
    </row>
    <row r="108" spans="7:57" ht="27.6">
      <c r="G108" s="79"/>
      <c r="H108" s="243"/>
      <c r="I108" s="243"/>
      <c r="X108" s="539"/>
      <c r="Y108"/>
      <c r="Z108" s="542" t="s">
        <v>487</v>
      </c>
      <c r="AA108" s="275" t="str">
        <f ca="1">IFERROR(AA103-AA106-AA107,"")</f>
        <v/>
      </c>
      <c r="AB108" s="275" t="str">
        <f t="shared" ref="AB108:BD108" ca="1" si="75">IFERROR(AB103-AB106-AB107,"")</f>
        <v/>
      </c>
      <c r="AC108" s="275" t="str">
        <f t="shared" ca="1" si="75"/>
        <v/>
      </c>
      <c r="AD108" s="275" t="str">
        <f t="shared" ca="1" si="75"/>
        <v/>
      </c>
      <c r="AE108" s="275" t="str">
        <f t="shared" ca="1" si="75"/>
        <v/>
      </c>
      <c r="AF108" s="275" t="str">
        <f t="shared" ca="1" si="75"/>
        <v/>
      </c>
      <c r="AG108" s="275" t="str">
        <f t="shared" ca="1" si="75"/>
        <v/>
      </c>
      <c r="AH108" s="275" t="str">
        <f t="shared" ca="1" si="75"/>
        <v/>
      </c>
      <c r="AI108" s="275">
        <f t="shared" ca="1" si="75"/>
        <v>-5221.8727195265474</v>
      </c>
      <c r="AJ108" s="275" t="str">
        <f t="shared" ca="1" si="75"/>
        <v/>
      </c>
      <c r="AK108" s="275" t="str">
        <f t="shared" ca="1" si="75"/>
        <v/>
      </c>
      <c r="AL108" s="275" t="str">
        <f t="shared" ca="1" si="75"/>
        <v/>
      </c>
      <c r="AM108" s="275" t="str">
        <f t="shared" ca="1" si="75"/>
        <v/>
      </c>
      <c r="AN108" s="275" t="str">
        <f t="shared" ca="1" si="75"/>
        <v/>
      </c>
      <c r="AO108" s="275">
        <f t="shared" ca="1" si="75"/>
        <v>-2437.8727195265474</v>
      </c>
      <c r="AP108" s="275" t="str">
        <f t="shared" ca="1" si="75"/>
        <v/>
      </c>
      <c r="AQ108" s="275" t="str">
        <f t="shared" ca="1" si="75"/>
        <v/>
      </c>
      <c r="AR108" s="275" t="str">
        <f t="shared" ca="1" si="75"/>
        <v/>
      </c>
      <c r="AS108" s="275" t="str">
        <f t="shared" ca="1" si="75"/>
        <v/>
      </c>
      <c r="AT108" s="275" t="str">
        <f t="shared" ca="1" si="75"/>
        <v/>
      </c>
      <c r="AU108" s="275">
        <f t="shared" ca="1" si="75"/>
        <v>370.12728047345263</v>
      </c>
      <c r="AV108" s="275" t="str">
        <f t="shared" ca="1" si="75"/>
        <v/>
      </c>
      <c r="AW108" s="275" t="str">
        <f t="shared" ca="1" si="75"/>
        <v/>
      </c>
      <c r="AX108" s="275" t="str">
        <f t="shared" ca="1" si="75"/>
        <v/>
      </c>
      <c r="AY108" s="275" t="str">
        <f t="shared" ca="1" si="75"/>
        <v/>
      </c>
      <c r="AZ108" s="275" t="str">
        <f t="shared" ca="1" si="75"/>
        <v/>
      </c>
      <c r="BA108" s="275" t="str">
        <f t="shared" ca="1" si="75"/>
        <v/>
      </c>
      <c r="BB108" s="275" t="str">
        <f t="shared" ca="1" si="75"/>
        <v/>
      </c>
      <c r="BC108" s="275" t="str">
        <f t="shared" ca="1" si="75"/>
        <v/>
      </c>
      <c r="BD108" s="275" t="str">
        <f t="shared" ca="1" si="75"/>
        <v/>
      </c>
      <c r="BE108" s="114"/>
    </row>
    <row r="109" spans="7:57" ht="15.6">
      <c r="G109" s="79"/>
      <c r="H109" s="243"/>
      <c r="I109" s="243"/>
      <c r="S109" s="56"/>
      <c r="X109" s="540"/>
      <c r="Y109"/>
      <c r="Z109" s="541"/>
      <c r="AA109" s="275"/>
      <c r="AB109" s="275"/>
      <c r="AC109" s="275"/>
      <c r="AD109" s="275"/>
      <c r="AE109" s="275"/>
      <c r="AF109" s="295"/>
      <c r="AG109" s="275"/>
      <c r="AH109" s="275"/>
      <c r="AI109" s="275"/>
      <c r="AJ109" s="275"/>
      <c r="AK109" s="275"/>
      <c r="AL109" s="295"/>
      <c r="AM109" s="275"/>
      <c r="AN109" s="275"/>
      <c r="AO109" s="275"/>
      <c r="AP109" s="275"/>
      <c r="AQ109" s="275"/>
      <c r="AR109" s="295"/>
      <c r="AS109" s="275"/>
      <c r="AT109" s="275"/>
      <c r="AU109" s="275"/>
      <c r="AV109" s="275"/>
      <c r="AW109" s="275"/>
      <c r="AX109" s="295"/>
      <c r="AY109" s="275"/>
      <c r="AZ109" s="275"/>
      <c r="BA109" s="275"/>
      <c r="BB109" s="275"/>
      <c r="BC109" s="275"/>
      <c r="BD109" s="275"/>
      <c r="BE109" s="114"/>
    </row>
    <row r="110" spans="7:57" ht="27.6">
      <c r="G110" s="79"/>
      <c r="H110" s="243"/>
      <c r="I110" s="243"/>
      <c r="X110" s="538"/>
      <c r="Y110"/>
      <c r="Z110" s="519" t="s">
        <v>488</v>
      </c>
      <c r="AA110" s="537" t="str">
        <f t="shared" ref="AA110:BD110" ca="1" si="76">IF(_xlfn.XLOOKUP(AA98,$K$8:$K$37,$G$8:$G$37)&gt;0,$S$88,"")</f>
        <v/>
      </c>
      <c r="AB110" s="537" t="str">
        <f t="shared" ca="1" si="76"/>
        <v/>
      </c>
      <c r="AC110" s="537" t="str">
        <f t="shared" ca="1" si="76"/>
        <v/>
      </c>
      <c r="AD110" s="537" t="str">
        <f t="shared" ca="1" si="76"/>
        <v/>
      </c>
      <c r="AE110" s="537" t="str">
        <f t="shared" ca="1" si="76"/>
        <v/>
      </c>
      <c r="AF110" s="537" t="str">
        <f t="shared" ca="1" si="76"/>
        <v/>
      </c>
      <c r="AG110" s="537" t="str">
        <f t="shared" ca="1" si="76"/>
        <v/>
      </c>
      <c r="AH110" s="537" t="str">
        <f t="shared" ca="1" si="76"/>
        <v/>
      </c>
      <c r="AI110" s="537">
        <f t="shared" ca="1" si="76"/>
        <v>-4391.7849880402619</v>
      </c>
      <c r="AJ110" s="537" t="str">
        <f t="shared" ca="1" si="76"/>
        <v/>
      </c>
      <c r="AK110" s="537" t="str">
        <f t="shared" ca="1" si="76"/>
        <v/>
      </c>
      <c r="AL110" s="537" t="str">
        <f t="shared" ca="1" si="76"/>
        <v/>
      </c>
      <c r="AM110" s="537" t="str">
        <f t="shared" ca="1" si="76"/>
        <v/>
      </c>
      <c r="AN110" s="537" t="str">
        <f t="shared" ca="1" si="76"/>
        <v/>
      </c>
      <c r="AO110" s="537">
        <f t="shared" ca="1" si="76"/>
        <v>-4391.7849880402619</v>
      </c>
      <c r="AP110" s="537" t="str">
        <f t="shared" ca="1" si="76"/>
        <v/>
      </c>
      <c r="AQ110" s="537" t="str">
        <f t="shared" ca="1" si="76"/>
        <v/>
      </c>
      <c r="AR110" s="537" t="str">
        <f t="shared" ca="1" si="76"/>
        <v/>
      </c>
      <c r="AS110" s="537" t="str">
        <f t="shared" ca="1" si="76"/>
        <v/>
      </c>
      <c r="AT110" s="537" t="str">
        <f t="shared" ca="1" si="76"/>
        <v/>
      </c>
      <c r="AU110" s="537">
        <f t="shared" ca="1" si="76"/>
        <v>-4391.7849880402619</v>
      </c>
      <c r="AV110" s="537" t="str">
        <f t="shared" ca="1" si="76"/>
        <v/>
      </c>
      <c r="AW110" s="537" t="str">
        <f t="shared" ca="1" si="76"/>
        <v/>
      </c>
      <c r="AX110" s="537" t="str">
        <f t="shared" ca="1" si="76"/>
        <v/>
      </c>
      <c r="AY110" s="537" t="str">
        <f t="shared" ca="1" si="76"/>
        <v/>
      </c>
      <c r="AZ110" s="537" t="str">
        <f t="shared" ca="1" si="76"/>
        <v/>
      </c>
      <c r="BA110" s="537" t="str">
        <f t="shared" ca="1" si="76"/>
        <v/>
      </c>
      <c r="BB110" s="537" t="str">
        <f t="shared" ca="1" si="76"/>
        <v/>
      </c>
      <c r="BC110" s="537" t="str">
        <f t="shared" ca="1" si="76"/>
        <v/>
      </c>
      <c r="BD110" s="537" t="str">
        <f t="shared" ca="1" si="76"/>
        <v/>
      </c>
      <c r="BE110" s="114"/>
    </row>
    <row r="111" spans="7:57" ht="27.6">
      <c r="G111" s="79"/>
      <c r="H111" s="243"/>
      <c r="I111" s="243"/>
      <c r="X111" s="538"/>
      <c r="Y111"/>
      <c r="Z111" s="542" t="s">
        <v>489</v>
      </c>
      <c r="AA111" s="275" t="str">
        <f ca="1">IF(_xlfn.XLOOKUP(AA98,$K$8:$K$37,$G$8:$G$37)&gt;0,IF(AA108&gt;=AA110, "Yes", "No"),"")</f>
        <v/>
      </c>
      <c r="AB111" s="275" t="str">
        <f t="shared" ref="AB111:BD111" ca="1" si="77">IF(_xlfn.XLOOKUP(AB98,$K$8:$K$37,$G$8:$G$37)&gt;0,IF(AB108&gt;=AB110, "Yes", "No"),"")</f>
        <v/>
      </c>
      <c r="AC111" s="275" t="str">
        <f t="shared" ca="1" si="77"/>
        <v/>
      </c>
      <c r="AD111" s="275" t="str">
        <f t="shared" ca="1" si="77"/>
        <v/>
      </c>
      <c r="AE111" s="275" t="str">
        <f t="shared" ca="1" si="77"/>
        <v/>
      </c>
      <c r="AF111" s="275" t="str">
        <f t="shared" ca="1" si="77"/>
        <v/>
      </c>
      <c r="AG111" s="275" t="str">
        <f t="shared" ca="1" si="77"/>
        <v/>
      </c>
      <c r="AH111" s="275" t="str">
        <f t="shared" ca="1" si="77"/>
        <v/>
      </c>
      <c r="AI111" s="275" t="str">
        <f t="shared" ca="1" si="77"/>
        <v>No</v>
      </c>
      <c r="AJ111" s="275" t="str">
        <f t="shared" ca="1" si="77"/>
        <v/>
      </c>
      <c r="AK111" s="275" t="str">
        <f t="shared" ca="1" si="77"/>
        <v/>
      </c>
      <c r="AL111" s="275" t="str">
        <f t="shared" ca="1" si="77"/>
        <v/>
      </c>
      <c r="AM111" s="275" t="str">
        <f t="shared" ca="1" si="77"/>
        <v/>
      </c>
      <c r="AN111" s="275" t="str">
        <f t="shared" ca="1" si="77"/>
        <v/>
      </c>
      <c r="AO111" s="275" t="str">
        <f t="shared" ca="1" si="77"/>
        <v>Yes</v>
      </c>
      <c r="AP111" s="275" t="str">
        <f t="shared" ca="1" si="77"/>
        <v/>
      </c>
      <c r="AQ111" s="275" t="str">
        <f t="shared" ca="1" si="77"/>
        <v/>
      </c>
      <c r="AR111" s="275" t="str">
        <f t="shared" ca="1" si="77"/>
        <v/>
      </c>
      <c r="AS111" s="275" t="str">
        <f t="shared" ca="1" si="77"/>
        <v/>
      </c>
      <c r="AT111" s="275" t="str">
        <f t="shared" ca="1" si="77"/>
        <v/>
      </c>
      <c r="AU111" s="275" t="str">
        <f t="shared" ca="1" si="77"/>
        <v>Yes</v>
      </c>
      <c r="AV111" s="275" t="str">
        <f t="shared" ca="1" si="77"/>
        <v/>
      </c>
      <c r="AW111" s="275" t="str">
        <f t="shared" ca="1" si="77"/>
        <v/>
      </c>
      <c r="AX111" s="275" t="str">
        <f t="shared" ca="1" si="77"/>
        <v/>
      </c>
      <c r="AY111" s="275" t="str">
        <f t="shared" ca="1" si="77"/>
        <v/>
      </c>
      <c r="AZ111" s="275" t="str">
        <f t="shared" ca="1" si="77"/>
        <v/>
      </c>
      <c r="BA111" s="275" t="str">
        <f t="shared" ca="1" si="77"/>
        <v/>
      </c>
      <c r="BB111" s="275" t="str">
        <f t="shared" ca="1" si="77"/>
        <v/>
      </c>
      <c r="BC111" s="275" t="str">
        <f t="shared" ca="1" si="77"/>
        <v/>
      </c>
      <c r="BD111" s="275" t="str">
        <f t="shared" ca="1" si="77"/>
        <v/>
      </c>
      <c r="BE111" s="114"/>
    </row>
    <row r="112" spans="7:57" ht="14.45">
      <c r="G112" s="79"/>
      <c r="H112" s="243"/>
      <c r="I112" s="243"/>
      <c r="X112" s="283"/>
      <c r="Y112" s="246"/>
      <c r="Z112" s="265"/>
      <c r="AA112" s="170"/>
      <c r="AB112" s="170"/>
      <c r="AC112" s="170"/>
      <c r="AD112" s="170"/>
      <c r="AE112" s="170"/>
      <c r="AF112" s="298"/>
      <c r="AG112" s="170"/>
      <c r="AH112" s="170"/>
      <c r="AI112" s="170"/>
      <c r="AJ112" s="170"/>
      <c r="AK112" s="170"/>
      <c r="AL112" s="298"/>
      <c r="AM112" s="170"/>
      <c r="AN112" s="170"/>
      <c r="AO112" s="170"/>
      <c r="AP112" s="170"/>
      <c r="AQ112" s="170"/>
      <c r="AR112" s="298"/>
      <c r="AS112" s="170"/>
      <c r="AT112" s="170"/>
      <c r="AU112" s="170"/>
      <c r="AV112" s="170"/>
      <c r="AW112" s="170"/>
      <c r="AX112" s="298"/>
      <c r="AY112" s="170"/>
      <c r="AZ112" s="170"/>
      <c r="BA112" s="170"/>
      <c r="BB112" s="170"/>
      <c r="BC112" s="170"/>
      <c r="BD112" s="170"/>
      <c r="BE112" s="171"/>
    </row>
    <row r="113" spans="7:57" ht="14.45">
      <c r="G113" s="79"/>
      <c r="H113" s="243"/>
      <c r="I113" s="243"/>
      <c r="X113" s="245"/>
      <c r="Y113" s="269"/>
      <c r="Z113" s="270"/>
    </row>
    <row r="114" spans="7:57" ht="14.45">
      <c r="G114" s="79"/>
      <c r="H114" s="243"/>
      <c r="I114" s="243"/>
      <c r="X114" s="245"/>
      <c r="Y114" s="271"/>
      <c r="Z114" s="270"/>
    </row>
    <row r="115" spans="7:57" ht="14.45">
      <c r="G115" s="242"/>
      <c r="H115" s="243"/>
      <c r="I115" s="243"/>
      <c r="X115" s="555"/>
      <c r="Y115" s="269"/>
      <c r="Z115" s="270"/>
    </row>
    <row r="116" spans="7:57" ht="14.45">
      <c r="G116" s="79"/>
      <c r="H116" s="243"/>
      <c r="I116" s="243"/>
      <c r="X116" s="245"/>
      <c r="Y116" s="269"/>
      <c r="Z116" s="270"/>
    </row>
    <row r="117" spans="7:57" ht="14.45">
      <c r="G117" s="79"/>
      <c r="H117" s="243"/>
      <c r="I117" s="243"/>
      <c r="X117" s="245"/>
      <c r="Y117"/>
      <c r="Z117" s="272"/>
    </row>
    <row r="118" spans="7:57" ht="17.45">
      <c r="G118" s="151"/>
      <c r="H118" s="33"/>
      <c r="I118" s="33"/>
      <c r="X118" s="544"/>
      <c r="Y118" s="545"/>
      <c r="Z118" s="545"/>
      <c r="AA118" s="545"/>
      <c r="AB118" s="545"/>
      <c r="AC118" s="545"/>
      <c r="AD118" s="545"/>
      <c r="AE118" s="545"/>
      <c r="AF118" s="545"/>
      <c r="AG118" s="545"/>
      <c r="AH118" s="545"/>
      <c r="AI118" s="545"/>
      <c r="AJ118" s="545"/>
      <c r="AK118" s="545"/>
      <c r="AL118" s="545"/>
      <c r="AM118" s="545"/>
      <c r="AN118" s="545"/>
      <c r="AO118" s="545"/>
      <c r="AP118" s="545"/>
      <c r="AQ118" s="545"/>
      <c r="AR118" s="545"/>
      <c r="AS118" s="545"/>
      <c r="AT118" s="545"/>
      <c r="AU118" s="545"/>
      <c r="AV118" s="545"/>
      <c r="AW118" s="545"/>
      <c r="AX118" s="545"/>
      <c r="AY118" s="545"/>
      <c r="AZ118" s="545"/>
      <c r="BA118" s="545"/>
      <c r="BB118" s="545"/>
      <c r="BC118" s="545"/>
      <c r="BD118" s="545"/>
      <c r="BE118" s="545"/>
    </row>
    <row r="119" spans="7:57">
      <c r="AA119" s="81"/>
      <c r="AB119" s="81"/>
      <c r="AC119" s="81"/>
      <c r="AD119" s="81"/>
      <c r="AE119" s="81"/>
      <c r="AF119" s="81"/>
      <c r="AG119" s="81"/>
      <c r="AH119" s="81"/>
      <c r="AI119" s="81"/>
      <c r="AJ119" s="81"/>
      <c r="AK119" s="81"/>
      <c r="AL119" s="81"/>
      <c r="AM119" s="81"/>
      <c r="AN119" s="81"/>
      <c r="AO119" s="81"/>
      <c r="AP119" s="81"/>
      <c r="AQ119" s="81"/>
      <c r="AR119" s="81"/>
      <c r="AS119" s="81"/>
      <c r="AT119" s="81"/>
      <c r="AU119" s="81"/>
      <c r="AV119" s="81"/>
      <c r="AW119" s="81"/>
      <c r="AX119" s="81"/>
      <c r="AY119" s="81"/>
      <c r="AZ119" s="81"/>
      <c r="BA119" s="81"/>
      <c r="BB119" s="81"/>
      <c r="BC119" s="81"/>
      <c r="BD119" s="81"/>
      <c r="BE119" s="81"/>
    </row>
    <row r="120" spans="7:57" ht="14.45">
      <c r="X120" s="77"/>
      <c r="Y120"/>
      <c r="Z120" s="270"/>
      <c r="AA120" s="55"/>
      <c r="AB120" s="55"/>
      <c r="AC120" s="55"/>
      <c r="AD120" s="55"/>
      <c r="AE120" s="55"/>
      <c r="AF120" s="55"/>
      <c r="AG120" s="55"/>
      <c r="AH120" s="55"/>
      <c r="AI120" s="55"/>
      <c r="AJ120" s="55"/>
      <c r="AK120" s="55"/>
      <c r="AL120" s="55"/>
      <c r="AM120" s="55"/>
      <c r="AN120" s="55"/>
      <c r="AO120" s="55"/>
      <c r="AP120" s="55"/>
      <c r="AQ120" s="55"/>
      <c r="AR120" s="55"/>
      <c r="AS120" s="55"/>
      <c r="AT120" s="55"/>
      <c r="AU120" s="55"/>
      <c r="AV120" s="55"/>
      <c r="AW120" s="55"/>
      <c r="AX120" s="55"/>
      <c r="AY120" s="55"/>
      <c r="AZ120" s="55"/>
      <c r="BA120" s="55"/>
      <c r="BB120" s="55"/>
      <c r="BC120" s="55"/>
      <c r="BD120" s="55"/>
      <c r="BE120" s="55"/>
    </row>
    <row r="121" spans="7:57" ht="14.45">
      <c r="X121" s="77"/>
      <c r="Y121"/>
      <c r="Z121" s="270"/>
      <c r="AA121" s="117"/>
      <c r="AB121" s="126"/>
      <c r="AC121" s="126"/>
      <c r="AD121" s="126"/>
      <c r="AE121" s="126"/>
      <c r="AF121" s="126"/>
      <c r="AG121" s="126"/>
      <c r="AH121" s="126"/>
      <c r="AI121" s="126"/>
      <c r="AJ121" s="126"/>
      <c r="AK121" s="126"/>
      <c r="AL121" s="126"/>
      <c r="AM121" s="126"/>
      <c r="AN121" s="126"/>
      <c r="AO121" s="126"/>
      <c r="AP121" s="126"/>
      <c r="AQ121" s="126"/>
      <c r="AR121" s="126"/>
      <c r="AS121" s="126"/>
      <c r="AT121" s="126"/>
      <c r="AU121" s="126"/>
      <c r="AV121" s="126"/>
      <c r="AW121" s="126"/>
      <c r="AX121" s="126"/>
      <c r="AY121" s="126"/>
      <c r="AZ121" s="126"/>
      <c r="BA121" s="126"/>
      <c r="BB121" s="126"/>
      <c r="BC121" s="126"/>
      <c r="BD121" s="126"/>
    </row>
    <row r="122" spans="7:57" ht="14.45">
      <c r="X122" s="77"/>
      <c r="Y122"/>
      <c r="Z122" s="270"/>
      <c r="AA122" s="160"/>
      <c r="AB122" s="160"/>
      <c r="AC122" s="160"/>
      <c r="AD122" s="160"/>
      <c r="AE122" s="160"/>
      <c r="AF122" s="160"/>
      <c r="AG122" s="160"/>
      <c r="AH122" s="160"/>
      <c r="AI122" s="160"/>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row>
    <row r="123" spans="7:57" ht="15.6">
      <c r="X123" s="77"/>
      <c r="Y123"/>
      <c r="Z123" s="254"/>
      <c r="AA123" s="275"/>
      <c r="AB123" s="275"/>
      <c r="AC123" s="275"/>
      <c r="AD123" s="275"/>
      <c r="AE123" s="275"/>
      <c r="AF123" s="275"/>
      <c r="AG123" s="275"/>
      <c r="AH123" s="275"/>
      <c r="AI123" s="275"/>
      <c r="AJ123" s="275"/>
      <c r="AK123" s="275"/>
      <c r="AL123" s="275"/>
      <c r="AM123" s="275"/>
      <c r="AN123" s="275"/>
      <c r="AO123" s="275"/>
      <c r="AP123" s="275"/>
      <c r="AQ123" s="275"/>
      <c r="AR123" s="275"/>
      <c r="AS123" s="275"/>
      <c r="AT123" s="275"/>
      <c r="AU123" s="275"/>
      <c r="AV123" s="275"/>
      <c r="AW123" s="275"/>
      <c r="AX123" s="275"/>
      <c r="AY123" s="275"/>
      <c r="AZ123" s="275"/>
      <c r="BA123" s="275"/>
      <c r="BB123" s="275"/>
      <c r="BC123" s="275"/>
      <c r="BD123" s="275"/>
    </row>
    <row r="124" spans="7:57" ht="15.6">
      <c r="X124" s="245"/>
      <c r="Y124" s="546"/>
      <c r="Z124" s="547"/>
      <c r="AA124" s="160"/>
      <c r="AB124" s="160"/>
      <c r="AC124" s="160"/>
      <c r="AD124" s="160"/>
      <c r="AE124" s="160"/>
      <c r="AF124" s="160"/>
      <c r="AG124" s="160"/>
      <c r="AH124" s="160"/>
      <c r="AI124" s="160"/>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row>
    <row r="125" spans="7:57" ht="14.45">
      <c r="X125" s="548"/>
      <c r="Y125"/>
      <c r="Z125" s="270"/>
      <c r="AA125" s="160"/>
      <c r="AB125" s="160"/>
      <c r="AC125" s="160"/>
      <c r="AD125" s="160"/>
      <c r="AE125" s="160"/>
      <c r="AF125" s="160"/>
      <c r="AG125" s="160"/>
      <c r="AH125" s="160"/>
      <c r="AI125" s="160"/>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row>
    <row r="126" spans="7:57" ht="14.45">
      <c r="X126" s="245"/>
      <c r="Y126" s="549"/>
      <c r="Z126" s="270"/>
      <c r="AA126" s="160"/>
      <c r="AB126" s="160"/>
      <c r="AC126" s="160"/>
      <c r="AD126" s="160"/>
      <c r="AE126" s="160"/>
      <c r="AF126" s="160"/>
      <c r="AG126" s="160"/>
      <c r="AH126" s="160"/>
      <c r="AI126" s="160"/>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row>
    <row r="127" spans="7:57" ht="14.45">
      <c r="X127" s="245"/>
      <c r="Y127" s="550"/>
      <c r="Z127" s="255"/>
      <c r="AA127" s="160"/>
      <c r="AB127" s="160"/>
      <c r="AC127" s="160"/>
      <c r="AD127" s="160"/>
      <c r="AE127" s="160"/>
      <c r="AF127" s="160"/>
      <c r="AG127" s="160"/>
      <c r="AH127" s="160"/>
      <c r="AI127" s="160"/>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row>
    <row r="128" spans="7:57" ht="15.6">
      <c r="X128" s="245"/>
      <c r="Y128" s="551"/>
      <c r="Z128" s="254"/>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5"/>
      <c r="AY128" s="275"/>
      <c r="AZ128" s="275"/>
      <c r="BA128" s="275"/>
      <c r="BB128" s="275"/>
      <c r="BC128" s="275"/>
      <c r="BD128" s="275"/>
    </row>
    <row r="129" spans="24:56" ht="14.45">
      <c r="X129" s="245"/>
      <c r="Y129" s="551"/>
      <c r="Z129" s="270"/>
      <c r="AA129" s="160"/>
      <c r="AB129" s="160"/>
      <c r="AC129" s="160"/>
      <c r="AD129" s="160"/>
      <c r="AE129" s="160"/>
      <c r="AF129" s="160"/>
      <c r="AG129" s="160"/>
      <c r="AH129" s="160"/>
      <c r="AI129" s="160"/>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row>
    <row r="130" spans="24:56" ht="15.6">
      <c r="X130" s="245"/>
      <c r="Y130" s="551"/>
      <c r="Z130" s="254"/>
      <c r="AA130" s="275"/>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row>
    <row r="131" spans="24:56" ht="14.45">
      <c r="X131" s="548"/>
      <c r="Y131"/>
      <c r="Z131" s="270"/>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2"/>
      <c r="AY131" s="102"/>
      <c r="AZ131" s="102"/>
      <c r="BA131" s="102"/>
      <c r="BB131" s="102"/>
      <c r="BC131" s="102"/>
      <c r="BD131" s="102"/>
    </row>
    <row r="132" spans="24:56" ht="14.45">
      <c r="X132" s="77"/>
      <c r="Y132"/>
      <c r="Z132" s="270"/>
      <c r="AA132" s="160"/>
      <c r="AB132" s="160"/>
      <c r="AC132" s="160"/>
      <c r="AD132" s="160"/>
      <c r="AE132" s="160"/>
      <c r="AF132" s="160"/>
      <c r="AG132" s="160"/>
      <c r="AH132" s="160"/>
      <c r="AI132" s="160"/>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row>
    <row r="133" spans="24:56" ht="14.45">
      <c r="X133" s="77"/>
      <c r="Y133"/>
      <c r="Z133" s="270"/>
      <c r="AA133" s="278"/>
      <c r="AB133" s="278"/>
      <c r="AC133" s="278"/>
      <c r="AD133" s="278"/>
      <c r="AE133" s="278"/>
      <c r="AF133" s="278"/>
      <c r="AG133" s="278"/>
      <c r="AH133" s="278"/>
      <c r="AI133" s="278"/>
      <c r="AJ133" s="278"/>
      <c r="AK133" s="278"/>
      <c r="AL133" s="278"/>
      <c r="AM133" s="278"/>
      <c r="AN133" s="278"/>
      <c r="AO133" s="278"/>
      <c r="AP133" s="278"/>
      <c r="AQ133" s="278"/>
      <c r="AR133" s="278"/>
      <c r="AS133" s="278"/>
      <c r="AT133" s="278"/>
      <c r="AU133" s="278"/>
      <c r="AV133" s="278"/>
      <c r="AW133" s="278"/>
      <c r="AX133" s="278"/>
      <c r="AY133" s="278"/>
      <c r="AZ133" s="278"/>
      <c r="BA133" s="278"/>
      <c r="BB133" s="278"/>
      <c r="BC133" s="278"/>
      <c r="BD133" s="278"/>
    </row>
    <row r="134" spans="24:56" ht="15.6">
      <c r="X134" s="543"/>
      <c r="Y134" s="550"/>
      <c r="Z134" s="254"/>
      <c r="AA134" s="280"/>
      <c r="AB134" s="280"/>
      <c r="AC134" s="280"/>
      <c r="AD134" s="280"/>
      <c r="AE134" s="280"/>
      <c r="AF134" s="280"/>
      <c r="AG134" s="280"/>
      <c r="AH134" s="280"/>
      <c r="AI134" s="280"/>
      <c r="AJ134" s="280"/>
      <c r="AK134" s="280"/>
      <c r="AL134" s="280"/>
      <c r="AM134" s="280"/>
      <c r="AN134" s="280"/>
      <c r="AO134" s="280"/>
      <c r="AP134" s="280"/>
      <c r="AQ134" s="280"/>
      <c r="AR134" s="280"/>
      <c r="AS134" s="280"/>
      <c r="AT134" s="280"/>
      <c r="AU134" s="280"/>
      <c r="AV134" s="280"/>
      <c r="AW134" s="280"/>
      <c r="AX134" s="280"/>
      <c r="AY134" s="280"/>
      <c r="AZ134" s="280"/>
      <c r="BA134" s="280"/>
      <c r="BB134" s="280"/>
      <c r="BC134" s="280"/>
      <c r="BD134" s="280"/>
    </row>
    <row r="135" spans="24:56" ht="14.45">
      <c r="X135" s="552"/>
      <c r="Y135"/>
      <c r="Z135" s="270"/>
      <c r="AA135" s="553"/>
      <c r="AB135" s="102"/>
      <c r="AC135" s="102"/>
      <c r="AD135" s="102"/>
      <c r="AE135" s="102"/>
      <c r="AF135" s="102"/>
      <c r="AG135" s="102"/>
      <c r="AH135" s="102"/>
      <c r="AI135" s="102"/>
      <c r="AJ135" s="102"/>
      <c r="AK135" s="102"/>
      <c r="AL135" s="102"/>
      <c r="AM135" s="102"/>
      <c r="AN135" s="102"/>
      <c r="AO135" s="102"/>
      <c r="AP135" s="102"/>
      <c r="AQ135" s="102"/>
      <c r="AR135" s="102"/>
      <c r="AS135" s="102"/>
      <c r="AT135" s="102"/>
      <c r="AU135" s="102"/>
      <c r="AV135" s="102"/>
      <c r="AW135" s="102"/>
      <c r="AX135" s="102"/>
      <c r="AY135" s="102"/>
      <c r="AZ135" s="102"/>
      <c r="BA135" s="102"/>
      <c r="BB135" s="102"/>
      <c r="BC135" s="102"/>
      <c r="BD135" s="102"/>
    </row>
    <row r="136" spans="24:56" ht="14.45">
      <c r="X136" s="77"/>
      <c r="Y136"/>
      <c r="Z136" s="270"/>
      <c r="AA136" s="160"/>
      <c r="AB136" s="160"/>
      <c r="AC136" s="160"/>
      <c r="AD136" s="160"/>
      <c r="AE136" s="160"/>
      <c r="AF136" s="160"/>
      <c r="AG136" s="160"/>
      <c r="AH136" s="160"/>
      <c r="AI136" s="160"/>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row>
    <row r="137" spans="24:56" ht="14.45">
      <c r="X137" s="245"/>
      <c r="Y137" s="554"/>
      <c r="Z137" s="270"/>
      <c r="AA137" s="160"/>
      <c r="AB137" s="160"/>
      <c r="AC137" s="160"/>
      <c r="AD137" s="160"/>
      <c r="AE137" s="160"/>
      <c r="AF137" s="160"/>
      <c r="AG137" s="160"/>
      <c r="AH137" s="160"/>
      <c r="AI137" s="160"/>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row>
    <row r="138" spans="24:56" ht="15.6">
      <c r="X138" s="245"/>
      <c r="Y138" s="281"/>
      <c r="Z138" s="270"/>
      <c r="AA138" s="102"/>
      <c r="AB138" s="102"/>
      <c r="AC138" s="102"/>
      <c r="AD138" s="102"/>
      <c r="AE138" s="102"/>
      <c r="AF138" s="102"/>
      <c r="AG138" s="102"/>
      <c r="AH138" s="102"/>
      <c r="AI138" s="102"/>
      <c r="AJ138" s="102"/>
      <c r="AK138" s="102"/>
      <c r="AL138" s="102"/>
      <c r="AM138" s="102"/>
      <c r="AN138" s="102"/>
      <c r="AO138" s="102"/>
      <c r="AP138" s="102"/>
      <c r="AQ138" s="102"/>
      <c r="AR138" s="102"/>
      <c r="AS138" s="102"/>
      <c r="AT138" s="102"/>
      <c r="AU138" s="102"/>
      <c r="AV138" s="102"/>
      <c r="AW138" s="102"/>
      <c r="AX138" s="102"/>
      <c r="AY138" s="102"/>
      <c r="AZ138" s="102"/>
      <c r="BA138" s="102"/>
      <c r="BB138" s="102"/>
      <c r="BC138" s="102"/>
      <c r="BD138" s="102"/>
    </row>
    <row r="139" spans="24:56" ht="14.45">
      <c r="X139" s="245"/>
      <c r="Y139" s="551"/>
      <c r="Z139" s="270"/>
      <c r="AA139" s="160"/>
      <c r="AB139" s="160"/>
      <c r="AC139" s="160"/>
      <c r="AD139" s="160"/>
      <c r="AE139" s="160"/>
      <c r="AF139" s="160"/>
      <c r="AG139" s="160"/>
      <c r="AH139" s="160"/>
      <c r="AI139" s="160"/>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row>
    <row r="140" spans="24:56" ht="14.45">
      <c r="X140"/>
      <c r="Y140"/>
      <c r="Z140" s="272"/>
      <c r="AA140" s="102"/>
      <c r="AB140" s="102"/>
      <c r="AC140" s="102"/>
      <c r="AD140" s="102"/>
      <c r="AE140" s="102"/>
      <c r="AF140" s="102"/>
      <c r="AG140" s="102"/>
      <c r="AH140" s="102"/>
      <c r="AI140" s="102"/>
      <c r="AJ140" s="102"/>
      <c r="AK140" s="102"/>
      <c r="AL140" s="102"/>
      <c r="AM140" s="102"/>
      <c r="AN140" s="102"/>
      <c r="AO140" s="102"/>
      <c r="AP140" s="102"/>
      <c r="AQ140" s="102"/>
      <c r="AR140" s="102"/>
      <c r="AS140" s="102"/>
      <c r="AT140" s="102"/>
      <c r="AU140" s="102"/>
      <c r="AV140" s="102"/>
      <c r="AW140" s="102"/>
      <c r="AX140" s="102"/>
      <c r="AY140" s="102"/>
      <c r="AZ140" s="102"/>
      <c r="BA140" s="102"/>
      <c r="BB140" s="102"/>
      <c r="BC140" s="102"/>
      <c r="BD140" s="102"/>
    </row>
    <row r="141" spans="24:56" ht="15.6">
      <c r="X141" s="77"/>
      <c r="Y141"/>
      <c r="Z141" s="254"/>
      <c r="AA141" s="280"/>
      <c r="AB141" s="280"/>
      <c r="AC141" s="280"/>
      <c r="AD141" s="280"/>
      <c r="AE141" s="280"/>
      <c r="AF141" s="280"/>
      <c r="AG141" s="280"/>
      <c r="AH141" s="280"/>
      <c r="AI141" s="280"/>
      <c r="AJ141" s="280"/>
      <c r="AK141" s="280"/>
      <c r="AL141" s="280"/>
      <c r="AM141" s="280"/>
      <c r="AN141" s="280"/>
      <c r="AO141" s="280"/>
      <c r="AP141" s="280"/>
      <c r="AQ141" s="280"/>
      <c r="AR141" s="280"/>
      <c r="AS141" s="280"/>
      <c r="AT141" s="280"/>
      <c r="AU141" s="280"/>
      <c r="AV141" s="280"/>
      <c r="AW141" s="280"/>
      <c r="AX141" s="280"/>
      <c r="AY141" s="280"/>
      <c r="AZ141" s="280"/>
      <c r="BA141" s="280"/>
      <c r="BB141" s="280"/>
      <c r="BC141" s="280"/>
      <c r="BD141" s="280"/>
    </row>
    <row r="142" spans="24:56" ht="15.6">
      <c r="X142" s="77"/>
      <c r="Y142"/>
      <c r="Z142" s="254"/>
      <c r="AA142" s="275"/>
      <c r="AB142" s="275"/>
      <c r="AC142" s="275"/>
      <c r="AD142" s="275"/>
      <c r="AE142" s="275"/>
      <c r="AF142" s="275"/>
      <c r="AG142" s="275"/>
      <c r="AH142" s="275"/>
      <c r="AI142" s="275"/>
      <c r="AJ142" s="275"/>
      <c r="AK142" s="275"/>
      <c r="AL142" s="275"/>
      <c r="AM142" s="275"/>
      <c r="AN142" s="275"/>
      <c r="AO142" s="275"/>
      <c r="AP142" s="275"/>
      <c r="AQ142" s="275"/>
      <c r="AR142" s="275"/>
      <c r="AS142" s="275"/>
      <c r="AT142" s="275"/>
      <c r="AU142" s="275"/>
      <c r="AV142" s="275"/>
      <c r="AW142" s="275"/>
      <c r="AX142" s="275"/>
      <c r="AY142" s="275"/>
      <c r="AZ142" s="275"/>
      <c r="BA142" s="275"/>
      <c r="BB142" s="275"/>
      <c r="BC142" s="275"/>
      <c r="BD142" s="275"/>
    </row>
    <row r="143" spans="24:56" ht="14.45">
      <c r="X143" s="77"/>
      <c r="Y143"/>
      <c r="Z143" s="270"/>
    </row>
    <row r="144" spans="24:56" ht="14.45">
      <c r="X144" s="77"/>
      <c r="Y144"/>
      <c r="Z144" s="270"/>
    </row>
  </sheetData>
  <sheetProtection algorithmName="SHA-512" hashValue="f5/MhEq8Ugs0biJfr19HW4MDMkSvRpr5m8EXJIJQ4foQrVwFE3jOjVnPSNlikZMboGjlhGkqEGVNOh2aGttKDQ==" saltValue="dvaMEO473qVZcOo1aplgaA==" spinCount="100000" sheet="1" formatCells="0" formatColumns="0" formatRows="0" insertColumns="0" insertRows="0" insertHyperlinks="0" deleteColumns="0" deleteRows="0" sort="0" autoFilter="0" pivotTables="0"/>
  <protectedRanges>
    <protectedRange algorithmName="SHA-512" hashValue="4WD4xc+PCX3IpxagPOxKyDgkWNosM1PswLxfK7F3MTvH2sore2CgoJ7bPoTsN+AH533Rq12WKIwoEtSprHFRxw==" saltValue="WgJoMmDAM8aZASgKzucKtQ==" spinCount="100000" sqref="N83:N84 H103:I118 P56:P58 P66 U40:V42 T44 Q51 Q44:Q46 T59:V59 T47:V47 T82:V82" name="Locked cells_1_1"/>
    <protectedRange algorithmName="SHA-512" hashValue="4WD4xc+PCX3IpxagPOxKyDgkWNosM1PswLxfK7F3MTvH2sore2CgoJ7bPoTsN+AH533Rq12WKIwoEtSprHFRxw==" saltValue="WgJoMmDAM8aZASgKzucKtQ==" spinCount="100000" sqref="T40:T43" name="Locked cells_1_1_1"/>
    <protectedRange algorithmName="SHA-512" hashValue="4WD4xc+PCX3IpxagPOxKyDgkWNosM1PswLxfK7F3MTvH2sore2CgoJ7bPoTsN+AH533Rq12WKIwoEtSprHFRxw==" saltValue="WgJoMmDAM8aZASgKzucKtQ==" spinCount="100000" sqref="T45" name="Locked cells_1_1_2"/>
  </protectedRanges>
  <conditionalFormatting sqref="C31:C32">
    <cfRule type="expression" dxfId="41" priority="28">
      <formula>$C$31&lt;0</formula>
    </cfRule>
    <cfRule type="expression" dxfId="40" priority="29">
      <formula>$C$31&gt;0</formula>
    </cfRule>
  </conditionalFormatting>
  <conditionalFormatting sqref="C46:E46">
    <cfRule type="cellIs" dxfId="39" priority="21" operator="greaterThan">
      <formula>0</formula>
    </cfRule>
    <cfRule type="cellIs" dxfId="38" priority="23" operator="lessThan">
      <formula>0</formula>
    </cfRule>
  </conditionalFormatting>
  <conditionalFormatting sqref="D31:D32">
    <cfRule type="expression" dxfId="37" priority="27">
      <formula>$D$31&lt;0</formula>
    </cfRule>
    <cfRule type="expression" dxfId="36" priority="30">
      <formula>$D$31&gt;0</formula>
    </cfRule>
  </conditionalFormatting>
  <conditionalFormatting sqref="G8:G37 K8:O37">
    <cfRule type="expression" dxfId="35" priority="11">
      <formula>$G8&gt;0</formula>
    </cfRule>
  </conditionalFormatting>
  <conditionalFormatting sqref="H8:J37">
    <cfRule type="expression" dxfId="34" priority="5">
      <formula>$G8&gt;0</formula>
    </cfRule>
  </conditionalFormatting>
  <conditionalFormatting sqref="S89">
    <cfRule type="cellIs" dxfId="33" priority="6" operator="equal">
      <formula>"No"</formula>
    </cfRule>
    <cfRule type="cellIs" dxfId="32" priority="7" operator="equal">
      <formula>"Yes"</formula>
    </cfRule>
  </conditionalFormatting>
  <conditionalFormatting sqref="Y38:AN38">
    <cfRule type="cellIs" dxfId="31" priority="51" operator="greaterThanOrEqual">
      <formula>$S$37</formula>
    </cfRule>
    <cfRule type="cellIs" dxfId="30" priority="52" operator="lessThan">
      <formula>$S$37</formula>
    </cfRule>
  </conditionalFormatting>
  <conditionalFormatting sqref="Y45:AN45">
    <cfRule type="cellIs" dxfId="29" priority="53" operator="greaterThanOrEqual">
      <formula>$S$56</formula>
    </cfRule>
    <cfRule type="cellIs" dxfId="28" priority="54" operator="lessThan">
      <formula>$S$56</formula>
    </cfRule>
  </conditionalFormatting>
  <conditionalFormatting sqref="Z51:AN51">
    <cfRule type="cellIs" dxfId="27" priority="8" operator="lessThan">
      <formula>0</formula>
    </cfRule>
    <cfRule type="cellIs" dxfId="26" priority="9" operator="greaterThanOrEqual">
      <formula>0</formula>
    </cfRule>
  </conditionalFormatting>
  <conditionalFormatting sqref="Z57:AN57">
    <cfRule type="cellIs" dxfId="25" priority="1" operator="greaterThanOrEqual">
      <formula>$V$9</formula>
    </cfRule>
    <cfRule type="cellIs" dxfId="24" priority="2" operator="lessThan">
      <formula>$V$9</formula>
    </cfRule>
  </conditionalFormatting>
  <dataValidations count="4">
    <dataValidation type="list" allowBlank="1" showInputMessage="1" showErrorMessage="1" sqref="J3 P48 T27" xr:uid="{8E4BE508-907D-46B6-940B-5CA7D42036A1}">
      <formula1>$AS$3:$AS$5</formula1>
    </dataValidation>
    <dataValidation type="list" allowBlank="1" showInputMessage="1" showErrorMessage="1" sqref="F85" xr:uid="{7DB4CCAF-52C7-4ABC-AAEF-A9E466525C9E}">
      <formula1>$AU$3:$AU$4</formula1>
    </dataValidation>
    <dataValidation type="list" allowBlank="1" showInputMessage="1" showErrorMessage="1" sqref="F58" xr:uid="{BCB0F2B9-C72E-4164-9330-79FEE3557F91}">
      <formula1>$AT$3:$AT$4</formula1>
    </dataValidation>
    <dataValidation type="list" allowBlank="1" showInputMessage="1" showErrorMessage="1" sqref="W32" xr:uid="{2892AAC7-F8C3-4164-AEEF-F5ECD08E6D35}">
      <formula1>$AX$3:$AX$4</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CA083-75B7-4420-91F0-BEECAAB79B42}">
  <sheetPr>
    <tabColor theme="4" tint="0.79998168889431442"/>
  </sheetPr>
  <dimension ref="A1:BC108"/>
  <sheetViews>
    <sheetView zoomScale="70" zoomScaleNormal="70" workbookViewId="0">
      <selection activeCell="AB72" sqref="AB72"/>
    </sheetView>
  </sheetViews>
  <sheetFormatPr defaultColWidth="8.7109375" defaultRowHeight="13.9"/>
  <cols>
    <col min="1" max="1" width="8.7109375" style="51"/>
    <col min="2" max="2" width="46.28515625" style="51" customWidth="1"/>
    <col min="3" max="4" width="17.7109375" style="51" customWidth="1"/>
    <col min="5" max="5" width="21.5703125" style="51" customWidth="1"/>
    <col min="6" max="6" width="15" style="51" customWidth="1"/>
    <col min="7" max="7" width="23.7109375" style="51" customWidth="1"/>
    <col min="8" max="8" width="16.28515625" style="102" customWidth="1"/>
    <col min="9" max="9" width="15.28515625" style="102" customWidth="1"/>
    <col min="10" max="10" width="14" style="51" customWidth="1"/>
    <col min="11" max="11" width="17" style="51" customWidth="1"/>
    <col min="12" max="12" width="20" style="51" customWidth="1"/>
    <col min="13" max="13" width="22.7109375" style="51" customWidth="1"/>
    <col min="14" max="14" width="19.5703125" style="51" customWidth="1"/>
    <col min="15" max="15" width="22.5703125" style="51" customWidth="1"/>
    <col min="16" max="16" width="17.42578125" style="51" customWidth="1"/>
    <col min="17" max="17" width="25.7109375" style="51" customWidth="1"/>
    <col min="18" max="18" width="24.7109375" style="51" customWidth="1"/>
    <col min="19" max="19" width="17.28515625" style="51" customWidth="1"/>
    <col min="20" max="20" width="26.7109375" style="51" customWidth="1"/>
    <col min="21" max="21" width="24.42578125" style="51" customWidth="1"/>
    <col min="22" max="22" width="29.28515625" style="55" customWidth="1"/>
    <col min="23" max="47" width="15.7109375" style="51" customWidth="1"/>
    <col min="48" max="51" width="16.5703125" style="51" customWidth="1"/>
    <col min="52" max="52" width="14.28515625" style="51" customWidth="1"/>
    <col min="53" max="16384" width="8.7109375" style="51"/>
  </cols>
  <sheetData>
    <row r="1" spans="1:53" s="50" customFormat="1" ht="30.4" customHeight="1">
      <c r="A1" s="99" t="s">
        <v>35</v>
      </c>
      <c r="H1" s="100"/>
      <c r="I1" s="100"/>
      <c r="V1" s="57"/>
    </row>
    <row r="2" spans="1:53" ht="13.5" customHeight="1" thickBot="1">
      <c r="A2" s="101"/>
      <c r="U2" s="55"/>
      <c r="V2" s="51"/>
    </row>
    <row r="3" spans="1:53" ht="28.15">
      <c r="A3" s="101"/>
      <c r="B3" s="507" t="s">
        <v>169</v>
      </c>
      <c r="C3" s="508"/>
      <c r="F3" s="117"/>
      <c r="G3" s="103" t="s">
        <v>170</v>
      </c>
      <c r="H3" s="71"/>
      <c r="I3" s="32" t="s">
        <v>171</v>
      </c>
      <c r="J3" s="599">
        <v>1</v>
      </c>
      <c r="K3" s="106"/>
      <c r="L3" s="106"/>
      <c r="M3" s="106"/>
      <c r="N3" s="106"/>
      <c r="O3" s="107"/>
      <c r="T3" s="451" t="s">
        <v>490</v>
      </c>
      <c r="U3" s="452"/>
      <c r="V3" s="452"/>
      <c r="W3" s="452"/>
      <c r="X3" s="452"/>
      <c r="Y3" s="452"/>
      <c r="Z3" s="452"/>
      <c r="AA3" s="452"/>
      <c r="AB3" s="453"/>
      <c r="AC3" s="452"/>
      <c r="AD3" s="452"/>
      <c r="AE3" s="452"/>
      <c r="AF3" s="452"/>
      <c r="AG3" s="452"/>
      <c r="AH3" s="453"/>
      <c r="AI3" s="452"/>
      <c r="AJ3" s="452"/>
      <c r="AK3" s="452"/>
      <c r="AL3" s="452"/>
      <c r="AM3" s="452"/>
      <c r="AN3" s="453"/>
      <c r="AO3" s="452"/>
      <c r="AP3" s="452"/>
      <c r="AQ3" s="452"/>
      <c r="AR3" s="452"/>
      <c r="AS3" s="452"/>
      <c r="AT3" s="453"/>
      <c r="AU3" s="452"/>
      <c r="AV3" s="452"/>
      <c r="AW3" s="452"/>
      <c r="AX3" s="452"/>
      <c r="AY3" s="452"/>
      <c r="AZ3" s="452"/>
      <c r="BA3" s="454"/>
    </row>
    <row r="4" spans="1:53">
      <c r="B4" s="509" t="s">
        <v>175</v>
      </c>
      <c r="C4" s="510"/>
      <c r="F4" s="117"/>
      <c r="G4" s="31"/>
      <c r="H4" s="81"/>
      <c r="I4" s="81"/>
      <c r="J4" s="81"/>
      <c r="N4" s="369"/>
      <c r="O4" s="370"/>
      <c r="P4" s="111"/>
      <c r="Q4" s="111"/>
      <c r="R4" s="111"/>
      <c r="S4" s="111"/>
      <c r="T4" s="67"/>
      <c r="V4" s="51"/>
      <c r="W4" s="266" t="str" cm="1">
        <f t="array" ref="W4:AZ4">TRANSPOSE(K8:K37)</f>
        <v>0bd-50</v>
      </c>
      <c r="X4" s="266" t="str">
        <v>0bd-60</v>
      </c>
      <c r="Y4" s="266" t="str">
        <v>0bd-80</v>
      </c>
      <c r="Z4" s="266" t="str">
        <v>0bd-100</v>
      </c>
      <c r="AA4" s="266" t="str">
        <v>0bd-120</v>
      </c>
      <c r="AB4" s="291" t="str">
        <v>0bd-mrkt</v>
      </c>
      <c r="AC4" s="266" t="str">
        <v>1bd-50</v>
      </c>
      <c r="AD4" s="266" t="str">
        <v>1bd-60</v>
      </c>
      <c r="AE4" s="266" t="str">
        <v>1bd-80</v>
      </c>
      <c r="AF4" s="266" t="str">
        <v>1bd-100</v>
      </c>
      <c r="AG4" s="266" t="str">
        <v>1bd-120</v>
      </c>
      <c r="AH4" s="291" t="str">
        <v>1bd-mrkt</v>
      </c>
      <c r="AI4" s="266" t="str">
        <v>2bd-50</v>
      </c>
      <c r="AJ4" s="266" t="str">
        <v>2bd-60</v>
      </c>
      <c r="AK4" s="266" t="str">
        <v>2bd-80</v>
      </c>
      <c r="AL4" s="266" t="str">
        <v>2bd-100</v>
      </c>
      <c r="AM4" s="266" t="str">
        <v>2bd-120</v>
      </c>
      <c r="AN4" s="291" t="str">
        <v>2bd-mrkt</v>
      </c>
      <c r="AO4" s="266" t="str">
        <v>3bd-50</v>
      </c>
      <c r="AP4" s="266" t="str">
        <v>3bd-60</v>
      </c>
      <c r="AQ4" s="266" t="str">
        <v>3bd-80</v>
      </c>
      <c r="AR4" s="266" t="str">
        <v>3bd-100</v>
      </c>
      <c r="AS4" s="266" t="str">
        <v>3bd-120</v>
      </c>
      <c r="AT4" s="291" t="str">
        <v>3bd-mrkt</v>
      </c>
      <c r="AU4" s="266" t="str">
        <v>4bd-50</v>
      </c>
      <c r="AV4" s="266" t="str">
        <v>4bd-60</v>
      </c>
      <c r="AW4" s="266" t="str">
        <v>4bd-80</v>
      </c>
      <c r="AX4" s="266" t="str">
        <v>4bd-100</v>
      </c>
      <c r="AY4" s="266" t="str">
        <v>4bd-120</v>
      </c>
      <c r="AZ4" s="267" t="str">
        <v>4bd-mrkt</v>
      </c>
      <c r="BA4" s="114"/>
    </row>
    <row r="5" spans="1:53" ht="14.45">
      <c r="B5" s="509" t="s">
        <v>180</v>
      </c>
      <c r="C5" s="511"/>
      <c r="F5"/>
      <c r="G5" s="505" t="s">
        <v>181</v>
      </c>
      <c r="H5" s="17">
        <v>1</v>
      </c>
      <c r="I5" s="16">
        <v>2</v>
      </c>
      <c r="J5" s="18">
        <v>3</v>
      </c>
      <c r="K5" s="55"/>
      <c r="N5" s="118"/>
      <c r="O5" s="371"/>
      <c r="P5" s="357"/>
      <c r="Q5" s="357"/>
      <c r="R5" s="357"/>
      <c r="S5" s="121"/>
      <c r="T5" s="273"/>
      <c r="U5"/>
      <c r="V5" s="270" t="s">
        <v>478</v>
      </c>
      <c r="W5" s="160" t="str">
        <f t="shared" ref="W5:AZ5" ca="1" si="0">IF(_xlfn.XLOOKUP(W4,$K$8:$K$37,$G$8:$G$37)&gt;0,$J$86,"")</f>
        <v/>
      </c>
      <c r="X5" s="160" t="str">
        <f t="shared" ca="1" si="0"/>
        <v/>
      </c>
      <c r="Y5" s="160" t="str">
        <f t="shared" ca="1" si="0"/>
        <v/>
      </c>
      <c r="Z5" s="160" t="str">
        <f t="shared" ca="1" si="0"/>
        <v/>
      </c>
      <c r="AA5" s="160" t="str">
        <f t="shared" ca="1" si="0"/>
        <v/>
      </c>
      <c r="AB5" s="422" t="str">
        <f t="shared" ca="1" si="0"/>
        <v/>
      </c>
      <c r="AC5" s="160" t="str">
        <f t="shared" ca="1" si="0"/>
        <v/>
      </c>
      <c r="AD5" s="160" t="str">
        <f t="shared" ca="1" si="0"/>
        <v/>
      </c>
      <c r="AE5" s="160">
        <f t="shared" ca="1" si="0"/>
        <v>1057220.0007916668</v>
      </c>
      <c r="AF5" s="160" t="str">
        <f t="shared" ca="1" si="0"/>
        <v/>
      </c>
      <c r="AG5" s="160" t="str">
        <f t="shared" ca="1" si="0"/>
        <v/>
      </c>
      <c r="AH5" s="422" t="str">
        <f t="shared" ca="1" si="0"/>
        <v/>
      </c>
      <c r="AI5" s="160" t="str">
        <f t="shared" ca="1" si="0"/>
        <v/>
      </c>
      <c r="AJ5" s="160" t="str">
        <f t="shared" ca="1" si="0"/>
        <v/>
      </c>
      <c r="AK5" s="160">
        <f t="shared" ca="1" si="0"/>
        <v>1057220.0007916668</v>
      </c>
      <c r="AL5" s="160" t="str">
        <f t="shared" ca="1" si="0"/>
        <v/>
      </c>
      <c r="AM5" s="160" t="str">
        <f t="shared" ca="1" si="0"/>
        <v/>
      </c>
      <c r="AN5" s="422" t="str">
        <f t="shared" ca="1" si="0"/>
        <v/>
      </c>
      <c r="AO5" s="160" t="str">
        <f t="shared" ca="1" si="0"/>
        <v/>
      </c>
      <c r="AP5" s="160" t="str">
        <f t="shared" ca="1" si="0"/>
        <v/>
      </c>
      <c r="AQ5" s="160">
        <f t="shared" ca="1" si="0"/>
        <v>1057220.0007916668</v>
      </c>
      <c r="AR5" s="160" t="str">
        <f t="shared" ca="1" si="0"/>
        <v/>
      </c>
      <c r="AS5" s="160" t="str">
        <f t="shared" ca="1" si="0"/>
        <v/>
      </c>
      <c r="AT5" s="422" t="str">
        <f t="shared" ca="1" si="0"/>
        <v/>
      </c>
      <c r="AU5" s="160" t="str">
        <f t="shared" ca="1" si="0"/>
        <v/>
      </c>
      <c r="AV5" s="160" t="str">
        <f t="shared" ca="1" si="0"/>
        <v/>
      </c>
      <c r="AW5" s="160" t="str">
        <f t="shared" ca="1" si="0"/>
        <v/>
      </c>
      <c r="AX5" s="160" t="str">
        <f t="shared" ca="1" si="0"/>
        <v/>
      </c>
      <c r="AY5" s="160" t="str">
        <f t="shared" ca="1" si="0"/>
        <v/>
      </c>
      <c r="AZ5" s="160" t="str">
        <f t="shared" ca="1" si="0"/>
        <v/>
      </c>
      <c r="BA5" s="114"/>
    </row>
    <row r="6" spans="1:53" ht="28.15" thickBot="1">
      <c r="B6" s="509" t="s">
        <v>491</v>
      </c>
      <c r="C6" s="512"/>
      <c r="D6" s="275"/>
      <c r="F6"/>
      <c r="G6" s="503" t="s">
        <v>186</v>
      </c>
      <c r="H6" s="600" t="s">
        <v>187</v>
      </c>
      <c r="I6" s="601" t="s">
        <v>440</v>
      </c>
      <c r="J6" s="601" t="s">
        <v>189</v>
      </c>
      <c r="K6" s="55"/>
      <c r="N6" s="118"/>
      <c r="O6" s="371"/>
      <c r="P6" s="357"/>
      <c r="Q6" s="357"/>
      <c r="R6" s="357"/>
      <c r="S6" s="121"/>
      <c r="T6" s="273"/>
      <c r="U6"/>
      <c r="V6" s="270" t="s">
        <v>479</v>
      </c>
      <c r="W6" s="102" t="str">
        <f ca="1">IF(_xlfn.XLOOKUP(W4,$K$8:$K$37,$G$8:$G$37)&gt;0,_xlfn.XLOOKUP(W4,$K$8:$K$37,$L$8:$L$37)+1,"")</f>
        <v/>
      </c>
      <c r="X6" s="102" t="str">
        <f t="shared" ref="X6:AZ6" ca="1" si="1">IF(_xlfn.XLOOKUP(X4,$K$8:$K$37,$G$8:$G$37)&gt;0,_xlfn.XLOOKUP(X4,$K$8:$K$37,$L$8:$L$37)+1,"")</f>
        <v/>
      </c>
      <c r="Y6" s="102" t="str">
        <f t="shared" ca="1" si="1"/>
        <v/>
      </c>
      <c r="Z6" s="102" t="str">
        <f t="shared" ca="1" si="1"/>
        <v/>
      </c>
      <c r="AA6" s="102" t="str">
        <f t="shared" ca="1" si="1"/>
        <v/>
      </c>
      <c r="AB6" s="293" t="str">
        <f t="shared" ca="1" si="1"/>
        <v/>
      </c>
      <c r="AC6" s="102" t="str">
        <f t="shared" ca="1" si="1"/>
        <v/>
      </c>
      <c r="AD6" s="102" t="str">
        <f t="shared" ca="1" si="1"/>
        <v/>
      </c>
      <c r="AE6" s="102">
        <f t="shared" ca="1" si="1"/>
        <v>2</v>
      </c>
      <c r="AF6" s="102" t="str">
        <f t="shared" ca="1" si="1"/>
        <v/>
      </c>
      <c r="AG6" s="102" t="str">
        <f t="shared" ca="1" si="1"/>
        <v/>
      </c>
      <c r="AH6" s="293" t="str">
        <f t="shared" ca="1" si="1"/>
        <v/>
      </c>
      <c r="AI6" s="102" t="str">
        <f t="shared" ca="1" si="1"/>
        <v/>
      </c>
      <c r="AJ6" s="102" t="str">
        <f t="shared" ca="1" si="1"/>
        <v/>
      </c>
      <c r="AK6" s="102">
        <f t="shared" ca="1" si="1"/>
        <v>3</v>
      </c>
      <c r="AL6" s="102" t="str">
        <f t="shared" ca="1" si="1"/>
        <v/>
      </c>
      <c r="AM6" s="102" t="str">
        <f t="shared" ca="1" si="1"/>
        <v/>
      </c>
      <c r="AN6" s="293" t="str">
        <f t="shared" ca="1" si="1"/>
        <v/>
      </c>
      <c r="AO6" s="102" t="str">
        <f t="shared" ca="1" si="1"/>
        <v/>
      </c>
      <c r="AP6" s="102" t="str">
        <f t="shared" ca="1" si="1"/>
        <v/>
      </c>
      <c r="AQ6" s="102">
        <f t="shared" ca="1" si="1"/>
        <v>4</v>
      </c>
      <c r="AR6" s="102" t="str">
        <f t="shared" ca="1" si="1"/>
        <v/>
      </c>
      <c r="AS6" s="102" t="str">
        <f t="shared" ca="1" si="1"/>
        <v/>
      </c>
      <c r="AT6" s="293" t="str">
        <f t="shared" ca="1" si="1"/>
        <v/>
      </c>
      <c r="AU6" s="102" t="str">
        <f t="shared" ca="1" si="1"/>
        <v/>
      </c>
      <c r="AV6" s="102" t="str">
        <f t="shared" ca="1" si="1"/>
        <v/>
      </c>
      <c r="AW6" s="102" t="str">
        <f t="shared" ca="1" si="1"/>
        <v/>
      </c>
      <c r="AX6" s="102" t="str">
        <f t="shared" ca="1" si="1"/>
        <v/>
      </c>
      <c r="AY6" s="102" t="str">
        <f t="shared" ca="1" si="1"/>
        <v/>
      </c>
      <c r="AZ6" s="102" t="str">
        <f t="shared" ca="1" si="1"/>
        <v/>
      </c>
      <c r="BA6" s="114"/>
    </row>
    <row r="7" spans="1:53" ht="28.15" thickBot="1">
      <c r="B7" s="509" t="s">
        <v>193</v>
      </c>
      <c r="C7" s="513"/>
      <c r="D7" s="109"/>
      <c r="G7" s="376"/>
      <c r="H7" s="375" t="s">
        <v>194</v>
      </c>
      <c r="I7" s="372" t="s">
        <v>194</v>
      </c>
      <c r="J7" s="376" t="s">
        <v>194</v>
      </c>
      <c r="K7" s="377" t="s">
        <v>195</v>
      </c>
      <c r="L7" s="372" t="s">
        <v>196</v>
      </c>
      <c r="M7" s="372" t="s">
        <v>197</v>
      </c>
      <c r="N7" s="372" t="s">
        <v>198</v>
      </c>
      <c r="O7" s="378" t="s">
        <v>492</v>
      </c>
      <c r="P7" s="475" t="s">
        <v>493</v>
      </c>
      <c r="Q7" s="794" t="s">
        <v>182</v>
      </c>
      <c r="R7" s="798"/>
      <c r="S7" s="244"/>
      <c r="T7" s="273"/>
      <c r="U7"/>
      <c r="V7" s="270" t="s">
        <v>480</v>
      </c>
      <c r="W7" s="117" t="str">
        <f ca="1">IF(_xlfn.XLOOKUP(W4,$K$8:$K$37,$G$8:$G$37)&gt;0,_xlfn.XLOOKUP(W4,$K$8:$K$37,$M$8:$M$37),"")</f>
        <v/>
      </c>
      <c r="X7" s="117" t="str">
        <f t="shared" ref="X7:AZ7" ca="1" si="2">IF(_xlfn.XLOOKUP(X4,$K$8:$K$37,$G$8:$G$37)&gt;0,_xlfn.XLOOKUP(X4,$K$8:$K$37,$M$8:$M$37),"")</f>
        <v/>
      </c>
      <c r="Y7" s="117" t="str">
        <f t="shared" ca="1" si="2"/>
        <v/>
      </c>
      <c r="Z7" s="117" t="str">
        <f t="shared" ca="1" si="2"/>
        <v/>
      </c>
      <c r="AA7" s="117" t="str">
        <f t="shared" ca="1" si="2"/>
        <v/>
      </c>
      <c r="AB7" s="294" t="str">
        <f t="shared" ca="1" si="2"/>
        <v/>
      </c>
      <c r="AC7" s="117" t="str">
        <f t="shared" ca="1" si="2"/>
        <v/>
      </c>
      <c r="AD7" s="117" t="str">
        <f t="shared" ca="1" si="2"/>
        <v/>
      </c>
      <c r="AE7" s="117">
        <f t="shared" ca="1" si="2"/>
        <v>0.8</v>
      </c>
      <c r="AF7" s="117" t="str">
        <f t="shared" ca="1" si="2"/>
        <v/>
      </c>
      <c r="AG7" s="117" t="str">
        <f t="shared" ca="1" si="2"/>
        <v/>
      </c>
      <c r="AH7" s="294" t="str">
        <f t="shared" ca="1" si="2"/>
        <v/>
      </c>
      <c r="AI7" s="117" t="str">
        <f t="shared" ca="1" si="2"/>
        <v/>
      </c>
      <c r="AJ7" s="117" t="str">
        <f t="shared" ca="1" si="2"/>
        <v/>
      </c>
      <c r="AK7" s="117">
        <f t="shared" ca="1" si="2"/>
        <v>0.8</v>
      </c>
      <c r="AL7" s="117" t="str">
        <f t="shared" ca="1" si="2"/>
        <v/>
      </c>
      <c r="AM7" s="117" t="str">
        <f t="shared" ca="1" si="2"/>
        <v/>
      </c>
      <c r="AN7" s="294" t="str">
        <f t="shared" ca="1" si="2"/>
        <v/>
      </c>
      <c r="AO7" s="117" t="str">
        <f t="shared" ca="1" si="2"/>
        <v/>
      </c>
      <c r="AP7" s="117" t="str">
        <f t="shared" ca="1" si="2"/>
        <v/>
      </c>
      <c r="AQ7" s="117">
        <f t="shared" ca="1" si="2"/>
        <v>0.8</v>
      </c>
      <c r="AR7" s="117" t="str">
        <f t="shared" ca="1" si="2"/>
        <v/>
      </c>
      <c r="AS7" s="117" t="str">
        <f t="shared" ca="1" si="2"/>
        <v/>
      </c>
      <c r="AT7" s="294" t="str">
        <f t="shared" ca="1" si="2"/>
        <v/>
      </c>
      <c r="AU7" s="117" t="str">
        <f t="shared" ca="1" si="2"/>
        <v/>
      </c>
      <c r="AV7" s="117" t="str">
        <f t="shared" ca="1" si="2"/>
        <v/>
      </c>
      <c r="AW7" s="117" t="str">
        <f t="shared" ca="1" si="2"/>
        <v/>
      </c>
      <c r="AX7" s="117" t="str">
        <f t="shared" ca="1" si="2"/>
        <v/>
      </c>
      <c r="AY7" s="117" t="str">
        <f t="shared" ca="1" si="2"/>
        <v/>
      </c>
      <c r="AZ7" s="117" t="str">
        <f t="shared" ca="1" si="2"/>
        <v/>
      </c>
      <c r="BA7" s="114"/>
    </row>
    <row r="8" spans="1:53" ht="28.9">
      <c r="B8" s="509" t="s">
        <v>202</v>
      </c>
      <c r="C8" s="514" t="s">
        <v>203</v>
      </c>
      <c r="D8" s="474"/>
      <c r="G8" s="406">
        <f t="shared" ref="G8:G13" ca="1" si="3">IF(ISBLANK(OFFSET(G8,0,$J$3)),$H8,OFFSET(G8,0,$J$3))</f>
        <v>0</v>
      </c>
      <c r="H8" s="679">
        <v>0</v>
      </c>
      <c r="I8" s="587">
        <v>0</v>
      </c>
      <c r="J8" s="588">
        <v>0</v>
      </c>
      <c r="K8" s="379" t="s">
        <v>204</v>
      </c>
      <c r="L8" s="235">
        <v>0</v>
      </c>
      <c r="M8" s="380">
        <v>0.5</v>
      </c>
      <c r="N8" s="682">
        <v>190000</v>
      </c>
      <c r="O8" s="381" t="str">
        <f t="shared" ref="O8:O37" ca="1" si="4">_xlfn.XLOOKUP(K8,$W$4:$AZ$4,$W$26:$AZ$26)</f>
        <v/>
      </c>
      <c r="P8" s="475" t="str" cm="1">
        <f t="array" aca="1" ref="P8:P37" ca="1">TRANSPOSE(W22:AZ22)</f>
        <v/>
      </c>
      <c r="Q8" s="794"/>
      <c r="R8" s="795" t="s">
        <v>190</v>
      </c>
      <c r="S8" s="127"/>
      <c r="T8" s="273"/>
      <c r="U8"/>
      <c r="V8" s="270" t="s">
        <v>481</v>
      </c>
      <c r="W8" s="160" t="str">
        <f ca="1">IF(_xlfn.XLOOKUP(W4,$K$8:$K$37,$G$8:$G$37)&gt;0,VLOOKUP(W7,'Income Limits (Reference Tab)'!$B$13:$G$19,W6+1),"")</f>
        <v/>
      </c>
      <c r="X8" s="160" t="str">
        <f ca="1">IF(_xlfn.XLOOKUP(X4,$K$8:$K$37,$G$8:$G$37)&gt;0,VLOOKUP(X7,'Income Limits (Reference Tab)'!$B$13:$G$19,X6+1),"")</f>
        <v/>
      </c>
      <c r="Y8" s="160" t="str">
        <f ca="1">IF(_xlfn.XLOOKUP(Y4,$K$8:$K$37,$G$8:$G$37)&gt;0,VLOOKUP(Y7,'Income Limits (Reference Tab)'!$B$13:$G$19,Y6+1),"")</f>
        <v/>
      </c>
      <c r="Z8" s="160" t="str">
        <f ca="1">IF(_xlfn.XLOOKUP(Z4,$K$8:$K$37,$G$8:$G$37)&gt;0,VLOOKUP(Z7,'Income Limits (Reference Tab)'!$B$13:$G$19,Z6+1),"")</f>
        <v/>
      </c>
      <c r="AA8" s="160" t="str">
        <f ca="1">IF(_xlfn.XLOOKUP(AA4,$K$8:$K$37,$G$8:$G$37)&gt;0,VLOOKUP(AA7,'Income Limits (Reference Tab)'!$B$13:$G$19,AA6+1),"")</f>
        <v/>
      </c>
      <c r="AB8" s="292" t="str">
        <f ca="1">IF(_xlfn.XLOOKUP(AB4,$K$8:$K$37,$G$8:$G$37)&gt;0,VLOOKUP(AB7,'Income Limits (Reference Tab)'!$B$13:$G$19,AB6+1),"")</f>
        <v/>
      </c>
      <c r="AC8" s="160" t="str">
        <f ca="1">IF(_xlfn.XLOOKUP(AC4,$K$8:$K$37,$G$8:$G$37)&gt;0,VLOOKUP(AC7,'Income Limits (Reference Tab)'!$B$13:$G$19,AC6+1),"")</f>
        <v/>
      </c>
      <c r="AD8" s="160" t="str">
        <f ca="1">IF(_xlfn.XLOOKUP(AD4,$K$8:$K$37,$G$8:$G$37)&gt;0,VLOOKUP(AD7,'Income Limits (Reference Tab)'!$B$13:$G$19,AD6+1),"")</f>
        <v/>
      </c>
      <c r="AE8" s="160">
        <f ca="1">IF(_xlfn.XLOOKUP(AE4,$K$8:$K$37,$G$8:$G$37)&gt;0,VLOOKUP(AE7,'Income Limits (Reference Tab)'!$B$13:$G$19,AE6+1),"")</f>
        <v>74880</v>
      </c>
      <c r="AF8" s="160" t="str">
        <f ca="1">IF(_xlfn.XLOOKUP(AF4,$K$8:$K$37,$G$8:$G$37)&gt;0,VLOOKUP(AF7,'Income Limits (Reference Tab)'!$B$13:$G$19,AF6+1),"")</f>
        <v/>
      </c>
      <c r="AG8" s="160" t="str">
        <f ca="1">IF(_xlfn.XLOOKUP(AG4,$K$8:$K$37,$G$8:$G$37)&gt;0,VLOOKUP(AG7,'Income Limits (Reference Tab)'!$B$13:$G$19,AG6+1),"")</f>
        <v/>
      </c>
      <c r="AH8" s="292" t="str">
        <f ca="1">IF(_xlfn.XLOOKUP(AH4,$K$8:$K$37,$G$8:$G$37)&gt;0,VLOOKUP(AH7,'Income Limits (Reference Tab)'!$B$13:$G$19,AH6+1),"")</f>
        <v/>
      </c>
      <c r="AI8" s="160" t="str">
        <f ca="1">IF(_xlfn.XLOOKUP(AI4,$K$8:$K$37,$G$8:$G$37)&gt;0,VLOOKUP(AI7,'Income Limits (Reference Tab)'!$B$13:$G$19,AI6+1),"")</f>
        <v/>
      </c>
      <c r="AJ8" s="160" t="str">
        <f ca="1">IF(_xlfn.XLOOKUP(AJ4,$K$8:$K$37,$G$8:$G$37)&gt;0,VLOOKUP(AJ7,'Income Limits (Reference Tab)'!$B$13:$G$19,AJ6+1),"")</f>
        <v/>
      </c>
      <c r="AK8" s="160">
        <f ca="1">IF(_xlfn.XLOOKUP(AK4,$K$8:$K$37,$G$8:$G$37)&gt;0,VLOOKUP(AK7,'Income Limits (Reference Tab)'!$B$13:$G$19,AK6+1),"")</f>
        <v>84160</v>
      </c>
      <c r="AL8" s="160" t="str">
        <f ca="1">IF(_xlfn.XLOOKUP(AL4,$K$8:$K$37,$G$8:$G$37)&gt;0,VLOOKUP(AL7,'Income Limits (Reference Tab)'!$B$13:$G$19,AL6+1),"")</f>
        <v/>
      </c>
      <c r="AM8" s="160" t="str">
        <f ca="1">IF(_xlfn.XLOOKUP(AM4,$K$8:$K$37,$G$8:$G$37)&gt;0,VLOOKUP(AM7,'Income Limits (Reference Tab)'!$B$13:$G$19,AM6+1),"")</f>
        <v/>
      </c>
      <c r="AN8" s="292" t="str">
        <f ca="1">IF(_xlfn.XLOOKUP(AN4,$K$8:$K$37,$G$8:$G$37)&gt;0,VLOOKUP(AN7,'Income Limits (Reference Tab)'!$B$13:$G$19,AN6+1),"")</f>
        <v/>
      </c>
      <c r="AO8" s="160" t="str">
        <f ca="1">IF(_xlfn.XLOOKUP(AO4,$K$8:$K$37,$G$8:$G$37)&gt;0,VLOOKUP(AO7,'Income Limits (Reference Tab)'!$B$13:$G$19,AO6+1),"")</f>
        <v/>
      </c>
      <c r="AP8" s="160" t="str">
        <f ca="1">IF(_xlfn.XLOOKUP(AP4,$K$8:$K$37,$G$8:$G$37)&gt;0,VLOOKUP(AP7,'Income Limits (Reference Tab)'!$B$13:$G$19,AP6+1),"")</f>
        <v/>
      </c>
      <c r="AQ8" s="160">
        <f ca="1">IF(_xlfn.XLOOKUP(AQ4,$K$8:$K$37,$G$8:$G$37)&gt;0,VLOOKUP(AQ7,'Income Limits (Reference Tab)'!$B$13:$G$19,AQ6+1),"")</f>
        <v>93520</v>
      </c>
      <c r="AR8" s="160" t="str">
        <f ca="1">IF(_xlfn.XLOOKUP(AR4,$K$8:$K$37,$G$8:$G$37)&gt;0,VLOOKUP(AR7,'Income Limits (Reference Tab)'!$B$13:$G$19,AR6+1),"")</f>
        <v/>
      </c>
      <c r="AS8" s="160" t="str">
        <f ca="1">IF(_xlfn.XLOOKUP(AS4,$K$8:$K$37,$G$8:$G$37)&gt;0,VLOOKUP(AS7,'Income Limits (Reference Tab)'!$B$13:$G$19,AS6+1),"")</f>
        <v/>
      </c>
      <c r="AT8" s="292" t="str">
        <f ca="1">IF(_xlfn.XLOOKUP(AT4,$K$8:$K$37,$G$8:$G$37)&gt;0,VLOOKUP(AT7,'Income Limits (Reference Tab)'!$B$13:$G$19,AT6+1),"")</f>
        <v/>
      </c>
      <c r="AU8" s="160" t="str">
        <f ca="1">IF(_xlfn.XLOOKUP(AU4,$K$8:$K$37,$G$8:$G$37)&gt;0,VLOOKUP(AU7,'Income Limits (Reference Tab)'!$B$13:$G$19,AU6+1),"")</f>
        <v/>
      </c>
      <c r="AV8" s="160" t="str">
        <f ca="1">IF(_xlfn.XLOOKUP(AV4,$K$8:$K$37,$G$8:$G$37)&gt;0,VLOOKUP(AV7,'Income Limits (Reference Tab)'!$B$13:$G$19,AV6+1),"")</f>
        <v/>
      </c>
      <c r="AW8" s="160" t="str">
        <f ca="1">IF(_xlfn.XLOOKUP(AW4,$K$8:$K$37,$G$8:$G$37)&gt;0,VLOOKUP(AW7,'Income Limits (Reference Tab)'!$B$13:$G$19,AW6+1),"")</f>
        <v/>
      </c>
      <c r="AX8" s="160" t="str">
        <f ca="1">IF(_xlfn.XLOOKUP(AX4,$K$8:$K$37,$G$8:$G$37)&gt;0,VLOOKUP(AX7,'Income Limits (Reference Tab)'!$B$13:$G$19,AX6+1),"")</f>
        <v/>
      </c>
      <c r="AY8" s="160" t="str">
        <f ca="1">IF(_xlfn.XLOOKUP(AY4,$K$8:$K$37,$G$8:$G$37)&gt;0,VLOOKUP(AY7,'Income Limits (Reference Tab)'!$B$13:$G$19,AY6+1),"")</f>
        <v/>
      </c>
      <c r="AZ8" s="160" t="str">
        <f ca="1">IF(_xlfn.XLOOKUP(AZ4,$K$8:$K$37,$G$8:$G$37)&gt;0,VLOOKUP(AZ7,'Income Limits (Reference Tab)'!$B$13:$G$19,AZ6+1),"")</f>
        <v/>
      </c>
      <c r="BA8" s="114"/>
    </row>
    <row r="9" spans="1:53" ht="31.9" thickBot="1">
      <c r="B9" s="515" t="s">
        <v>207</v>
      </c>
      <c r="C9" s="516" t="s">
        <v>208</v>
      </c>
      <c r="E9" s="473"/>
      <c r="G9" s="373">
        <f t="shared" ca="1" si="3"/>
        <v>0</v>
      </c>
      <c r="H9" s="680">
        <v>0</v>
      </c>
      <c r="I9" s="590">
        <v>0</v>
      </c>
      <c r="J9" s="591">
        <v>0</v>
      </c>
      <c r="K9" s="125" t="s">
        <v>209</v>
      </c>
      <c r="L9" s="55">
        <v>0</v>
      </c>
      <c r="M9" s="126">
        <v>0.6</v>
      </c>
      <c r="N9" s="132">
        <f>N8</f>
        <v>190000</v>
      </c>
      <c r="O9" s="367" t="str">
        <f t="shared" ca="1" si="4"/>
        <v/>
      </c>
      <c r="P9" s="476" t="str">
        <f ca="1"/>
        <v/>
      </c>
      <c r="Q9" s="789">
        <v>0.5</v>
      </c>
      <c r="R9" s="790">
        <f t="shared" ref="R9:R14" ca="1" si="5">SUMIF($M$8:$M$37,"="&amp;M8,$G$8:$G$37)</f>
        <v>0</v>
      </c>
      <c r="S9" s="127"/>
      <c r="T9" s="274" t="s">
        <v>482</v>
      </c>
      <c r="U9" s="677">
        <v>0.3</v>
      </c>
      <c r="V9" s="254" t="s">
        <v>483</v>
      </c>
      <c r="W9" s="275" t="str">
        <f ca="1">IFERROR($U$9*W8,"")</f>
        <v/>
      </c>
      <c r="X9" s="275" t="str">
        <f t="shared" ref="X9:AZ9" ca="1" si="6">IFERROR($U$9*X8,"")</f>
        <v/>
      </c>
      <c r="Y9" s="275" t="str">
        <f t="shared" ca="1" si="6"/>
        <v/>
      </c>
      <c r="Z9" s="275" t="str">
        <f t="shared" ca="1" si="6"/>
        <v/>
      </c>
      <c r="AA9" s="275" t="str">
        <f t="shared" ca="1" si="6"/>
        <v/>
      </c>
      <c r="AB9" s="295" t="str">
        <f t="shared" ca="1" si="6"/>
        <v/>
      </c>
      <c r="AC9" s="275" t="str">
        <f t="shared" ca="1" si="6"/>
        <v/>
      </c>
      <c r="AD9" s="275" t="str">
        <f t="shared" ca="1" si="6"/>
        <v/>
      </c>
      <c r="AE9" s="275">
        <f t="shared" ca="1" si="6"/>
        <v>22464</v>
      </c>
      <c r="AF9" s="275" t="str">
        <f t="shared" ca="1" si="6"/>
        <v/>
      </c>
      <c r="AG9" s="275" t="str">
        <f t="shared" ca="1" si="6"/>
        <v/>
      </c>
      <c r="AH9" s="295" t="str">
        <f t="shared" ca="1" si="6"/>
        <v/>
      </c>
      <c r="AI9" s="275" t="str">
        <f t="shared" ca="1" si="6"/>
        <v/>
      </c>
      <c r="AJ9" s="275" t="str">
        <f t="shared" ca="1" si="6"/>
        <v/>
      </c>
      <c r="AK9" s="275">
        <f t="shared" ca="1" si="6"/>
        <v>25248</v>
      </c>
      <c r="AL9" s="275" t="str">
        <f t="shared" ca="1" si="6"/>
        <v/>
      </c>
      <c r="AM9" s="275" t="str">
        <f t="shared" ca="1" si="6"/>
        <v/>
      </c>
      <c r="AN9" s="295" t="str">
        <f t="shared" ca="1" si="6"/>
        <v/>
      </c>
      <c r="AO9" s="275" t="str">
        <f t="shared" ca="1" si="6"/>
        <v/>
      </c>
      <c r="AP9" s="275" t="str">
        <f t="shared" ca="1" si="6"/>
        <v/>
      </c>
      <c r="AQ9" s="275">
        <f t="shared" ca="1" si="6"/>
        <v>28056</v>
      </c>
      <c r="AR9" s="275" t="str">
        <f t="shared" ca="1" si="6"/>
        <v/>
      </c>
      <c r="AS9" s="275" t="str">
        <f t="shared" ca="1" si="6"/>
        <v/>
      </c>
      <c r="AT9" s="295" t="str">
        <f t="shared" ca="1" si="6"/>
        <v/>
      </c>
      <c r="AU9" s="275" t="str">
        <f t="shared" ca="1" si="6"/>
        <v/>
      </c>
      <c r="AV9" s="275" t="str">
        <f t="shared" ca="1" si="6"/>
        <v/>
      </c>
      <c r="AW9" s="275" t="str">
        <f t="shared" ca="1" si="6"/>
        <v/>
      </c>
      <c r="AX9" s="275" t="str">
        <f t="shared" ca="1" si="6"/>
        <v/>
      </c>
      <c r="AY9" s="275" t="str">
        <f t="shared" ca="1" si="6"/>
        <v/>
      </c>
      <c r="AZ9" s="275" t="str">
        <f t="shared" ca="1" si="6"/>
        <v/>
      </c>
      <c r="BA9" s="114"/>
    </row>
    <row r="10" spans="1:53" ht="15.6">
      <c r="C10" s="55"/>
      <c r="E10" s="473"/>
      <c r="G10" s="373">
        <f t="shared" ca="1" si="3"/>
        <v>0</v>
      </c>
      <c r="H10" s="680">
        <v>0</v>
      </c>
      <c r="I10" s="590">
        <v>0</v>
      </c>
      <c r="J10" s="592">
        <v>0</v>
      </c>
      <c r="K10" s="125" t="s">
        <v>212</v>
      </c>
      <c r="L10" s="55">
        <v>0</v>
      </c>
      <c r="M10" s="126">
        <v>0.8</v>
      </c>
      <c r="N10" s="132">
        <f>N8</f>
        <v>190000</v>
      </c>
      <c r="O10" s="367" t="str">
        <f t="shared" ca="1" si="4"/>
        <v/>
      </c>
      <c r="P10" s="476" t="str">
        <f ca="1"/>
        <v/>
      </c>
      <c r="Q10" s="789">
        <v>0.6</v>
      </c>
      <c r="R10" s="790">
        <f t="shared" ca="1" si="5"/>
        <v>0</v>
      </c>
      <c r="S10" s="127"/>
      <c r="T10" s="276"/>
      <c r="U10"/>
      <c r="V10" s="270"/>
      <c r="W10" s="102"/>
      <c r="X10" s="102"/>
      <c r="Y10" s="102"/>
      <c r="Z10" s="102"/>
      <c r="AA10" s="102"/>
      <c r="AB10" s="293"/>
      <c r="AC10" s="102"/>
      <c r="AD10" s="102"/>
      <c r="AE10" s="102"/>
      <c r="AF10" s="102"/>
      <c r="AG10" s="102"/>
      <c r="AH10" s="293"/>
      <c r="AI10" s="102"/>
      <c r="AJ10" s="102"/>
      <c r="AK10" s="102"/>
      <c r="AL10" s="102"/>
      <c r="AM10" s="102"/>
      <c r="AN10" s="293"/>
      <c r="AO10" s="102"/>
      <c r="AP10" s="102"/>
      <c r="AQ10" s="102"/>
      <c r="AR10" s="102"/>
      <c r="AS10" s="102"/>
      <c r="AT10" s="293"/>
      <c r="AU10" s="102"/>
      <c r="AV10" s="102"/>
      <c r="AW10" s="102"/>
      <c r="AX10" s="102"/>
      <c r="AY10" s="102"/>
      <c r="AZ10" s="102"/>
      <c r="BA10" s="114"/>
    </row>
    <row r="11" spans="1:53" ht="28.15">
      <c r="G11" s="373">
        <f t="shared" ca="1" si="3"/>
        <v>0</v>
      </c>
      <c r="H11" s="680">
        <v>0</v>
      </c>
      <c r="I11" s="590">
        <v>0</v>
      </c>
      <c r="J11" s="592">
        <v>0</v>
      </c>
      <c r="K11" s="125" t="s">
        <v>213</v>
      </c>
      <c r="L11" s="55">
        <v>0</v>
      </c>
      <c r="M11" s="126">
        <v>1</v>
      </c>
      <c r="N11" s="132">
        <f>N9</f>
        <v>190000</v>
      </c>
      <c r="O11" s="367" t="str">
        <f t="shared" ca="1" si="4"/>
        <v/>
      </c>
      <c r="P11" s="476" t="str">
        <f ca="1"/>
        <v/>
      </c>
      <c r="Q11" s="791">
        <v>0.8</v>
      </c>
      <c r="R11" s="790">
        <f t="shared" ca="1" si="5"/>
        <v>12</v>
      </c>
      <c r="S11" s="127"/>
      <c r="T11" s="274" t="s">
        <v>494</v>
      </c>
      <c r="U11" s="684">
        <v>1.24E-2</v>
      </c>
      <c r="V11" s="270" t="s">
        <v>495</v>
      </c>
      <c r="W11" s="160" t="str">
        <f t="shared" ref="W11:AZ11" ca="1" si="7">IF(_xlfn.XLOOKUP(W4,$K$8:$K$37,$G$8:$G$37)&gt;0,$U11*_xlfn.XLOOKUP(W$4,$K$8:$K$37,$N$8:$N$37),"")</f>
        <v/>
      </c>
      <c r="X11" s="160" t="str">
        <f t="shared" ca="1" si="7"/>
        <v/>
      </c>
      <c r="Y11" s="160" t="str">
        <f t="shared" ca="1" si="7"/>
        <v/>
      </c>
      <c r="Z11" s="160" t="str">
        <f t="shared" ca="1" si="7"/>
        <v/>
      </c>
      <c r="AA11" s="160" t="str">
        <f t="shared" ca="1" si="7"/>
        <v/>
      </c>
      <c r="AB11" s="292" t="str">
        <f t="shared" ca="1" si="7"/>
        <v/>
      </c>
      <c r="AC11" s="160" t="str">
        <f t="shared" ca="1" si="7"/>
        <v/>
      </c>
      <c r="AD11" s="160" t="str">
        <f t="shared" ca="1" si="7"/>
        <v/>
      </c>
      <c r="AE11" s="160">
        <f t="shared" ca="1" si="7"/>
        <v>3410</v>
      </c>
      <c r="AF11" s="160" t="str">
        <f t="shared" ca="1" si="7"/>
        <v/>
      </c>
      <c r="AG11" s="160" t="str">
        <f t="shared" ca="1" si="7"/>
        <v/>
      </c>
      <c r="AH11" s="292" t="str">
        <f t="shared" ca="1" si="7"/>
        <v/>
      </c>
      <c r="AI11" s="160" t="str">
        <f t="shared" ca="1" si="7"/>
        <v/>
      </c>
      <c r="AJ11" s="160" t="str">
        <f t="shared" ca="1" si="7"/>
        <v/>
      </c>
      <c r="AK11" s="160">
        <f t="shared" ca="1" si="7"/>
        <v>4960</v>
      </c>
      <c r="AL11" s="160" t="str">
        <f t="shared" ca="1" si="7"/>
        <v/>
      </c>
      <c r="AM11" s="160" t="str">
        <f t="shared" ca="1" si="7"/>
        <v/>
      </c>
      <c r="AN11" s="292" t="str">
        <f t="shared" ca="1" si="7"/>
        <v/>
      </c>
      <c r="AO11" s="160" t="str">
        <f t="shared" ca="1" si="7"/>
        <v/>
      </c>
      <c r="AP11" s="160" t="str">
        <f t="shared" ca="1" si="7"/>
        <v/>
      </c>
      <c r="AQ11" s="160">
        <f t="shared" ca="1" si="7"/>
        <v>6448</v>
      </c>
      <c r="AR11" s="160" t="str">
        <f t="shared" ca="1" si="7"/>
        <v/>
      </c>
      <c r="AS11" s="160" t="str">
        <f t="shared" ca="1" si="7"/>
        <v/>
      </c>
      <c r="AT11" s="292" t="str">
        <f t="shared" ca="1" si="7"/>
        <v/>
      </c>
      <c r="AU11" s="160" t="str">
        <f t="shared" ca="1" si="7"/>
        <v/>
      </c>
      <c r="AV11" s="160" t="str">
        <f t="shared" ca="1" si="7"/>
        <v/>
      </c>
      <c r="AW11" s="160" t="str">
        <f t="shared" ca="1" si="7"/>
        <v/>
      </c>
      <c r="AX11" s="160" t="str">
        <f t="shared" ca="1" si="7"/>
        <v/>
      </c>
      <c r="AY11" s="160" t="str">
        <f t="shared" ca="1" si="7"/>
        <v/>
      </c>
      <c r="AZ11" s="160" t="str">
        <f t="shared" ca="1" si="7"/>
        <v/>
      </c>
      <c r="BA11" s="114"/>
    </row>
    <row r="12" spans="1:53" ht="28.15">
      <c r="B12" s="103" t="s">
        <v>216</v>
      </c>
      <c r="C12" s="104"/>
      <c r="D12" s="104"/>
      <c r="E12" s="105"/>
      <c r="G12" s="373">
        <f t="shared" ca="1" si="3"/>
        <v>0</v>
      </c>
      <c r="H12" s="680">
        <v>0</v>
      </c>
      <c r="I12" s="590">
        <v>0</v>
      </c>
      <c r="J12" s="592">
        <v>0</v>
      </c>
      <c r="K12" s="125" t="s">
        <v>217</v>
      </c>
      <c r="L12" s="55">
        <v>0</v>
      </c>
      <c r="M12" s="126">
        <v>1.2</v>
      </c>
      <c r="N12" s="132">
        <f>N10</f>
        <v>190000</v>
      </c>
      <c r="O12" s="367" t="str">
        <f t="shared" ca="1" si="4"/>
        <v/>
      </c>
      <c r="P12" s="476" t="str">
        <f ca="1"/>
        <v/>
      </c>
      <c r="Q12" s="791">
        <v>1</v>
      </c>
      <c r="R12" s="790">
        <f t="shared" ca="1" si="5"/>
        <v>0</v>
      </c>
      <c r="S12" s="127"/>
      <c r="T12" s="274" t="s">
        <v>494</v>
      </c>
      <c r="U12" s="685">
        <v>5.0000000000000001E-3</v>
      </c>
      <c r="V12" s="270" t="s">
        <v>496</v>
      </c>
      <c r="W12" s="160" t="str">
        <f t="shared" ref="W12:AZ12" ca="1" si="8">IF(_xlfn.XLOOKUP(W4,$K$8:$K$37,$G$8:$G$37)&gt;0,$U12*_xlfn.XLOOKUP(W$4,$K$8:$K$37,$N$8:$N$37),"")</f>
        <v/>
      </c>
      <c r="X12" s="160" t="str">
        <f t="shared" ca="1" si="8"/>
        <v/>
      </c>
      <c r="Y12" s="160" t="str">
        <f t="shared" ca="1" si="8"/>
        <v/>
      </c>
      <c r="Z12" s="160" t="str">
        <f t="shared" ca="1" si="8"/>
        <v/>
      </c>
      <c r="AA12" s="160" t="str">
        <f t="shared" ca="1" si="8"/>
        <v/>
      </c>
      <c r="AB12" s="292" t="str">
        <f t="shared" ca="1" si="8"/>
        <v/>
      </c>
      <c r="AC12" s="160" t="str">
        <f t="shared" ca="1" si="8"/>
        <v/>
      </c>
      <c r="AD12" s="160" t="str">
        <f t="shared" ca="1" si="8"/>
        <v/>
      </c>
      <c r="AE12" s="160">
        <f t="shared" ca="1" si="8"/>
        <v>1375</v>
      </c>
      <c r="AF12" s="160" t="str">
        <f t="shared" ca="1" si="8"/>
        <v/>
      </c>
      <c r="AG12" s="160" t="str">
        <f t="shared" ca="1" si="8"/>
        <v/>
      </c>
      <c r="AH12" s="292" t="str">
        <f t="shared" ca="1" si="8"/>
        <v/>
      </c>
      <c r="AI12" s="160" t="str">
        <f t="shared" ca="1" si="8"/>
        <v/>
      </c>
      <c r="AJ12" s="160" t="str">
        <f t="shared" ca="1" si="8"/>
        <v/>
      </c>
      <c r="AK12" s="160">
        <f t="shared" ca="1" si="8"/>
        <v>2000</v>
      </c>
      <c r="AL12" s="160" t="str">
        <f t="shared" ca="1" si="8"/>
        <v/>
      </c>
      <c r="AM12" s="160" t="str">
        <f t="shared" ca="1" si="8"/>
        <v/>
      </c>
      <c r="AN12" s="292" t="str">
        <f t="shared" ca="1" si="8"/>
        <v/>
      </c>
      <c r="AO12" s="160" t="str">
        <f t="shared" ca="1" si="8"/>
        <v/>
      </c>
      <c r="AP12" s="160" t="str">
        <f t="shared" ca="1" si="8"/>
        <v/>
      </c>
      <c r="AQ12" s="160">
        <f t="shared" ca="1" si="8"/>
        <v>2600</v>
      </c>
      <c r="AR12" s="160" t="str">
        <f t="shared" ca="1" si="8"/>
        <v/>
      </c>
      <c r="AS12" s="160" t="str">
        <f t="shared" ca="1" si="8"/>
        <v/>
      </c>
      <c r="AT12" s="292" t="str">
        <f t="shared" ca="1" si="8"/>
        <v/>
      </c>
      <c r="AU12" s="160" t="str">
        <f t="shared" ca="1" si="8"/>
        <v/>
      </c>
      <c r="AV12" s="160" t="str">
        <f t="shared" ca="1" si="8"/>
        <v/>
      </c>
      <c r="AW12" s="160" t="str">
        <f t="shared" ca="1" si="8"/>
        <v/>
      </c>
      <c r="AX12" s="160" t="str">
        <f t="shared" ca="1" si="8"/>
        <v/>
      </c>
      <c r="AY12" s="160" t="str">
        <f t="shared" ca="1" si="8"/>
        <v/>
      </c>
      <c r="AZ12" s="160" t="str">
        <f t="shared" ca="1" si="8"/>
        <v/>
      </c>
      <c r="BA12" s="114"/>
    </row>
    <row r="13" spans="1:53" ht="15.6">
      <c r="B13" s="462" t="s">
        <v>221</v>
      </c>
      <c r="C13" s="463" t="s">
        <v>222</v>
      </c>
      <c r="D13" s="463" t="s">
        <v>223</v>
      </c>
      <c r="E13" s="464" t="s">
        <v>224</v>
      </c>
      <c r="F13" s="108"/>
      <c r="G13" s="374">
        <f t="shared" ca="1" si="3"/>
        <v>0</v>
      </c>
      <c r="H13" s="681">
        <v>0</v>
      </c>
      <c r="I13" s="597">
        <v>0</v>
      </c>
      <c r="J13" s="598">
        <v>0</v>
      </c>
      <c r="K13" s="407" t="s">
        <v>225</v>
      </c>
      <c r="L13" s="327">
        <v>0</v>
      </c>
      <c r="M13" s="327" t="s">
        <v>218</v>
      </c>
      <c r="N13" s="408">
        <f>N9</f>
        <v>190000</v>
      </c>
      <c r="O13" s="409" t="str">
        <f t="shared" ca="1" si="4"/>
        <v/>
      </c>
      <c r="P13" s="476" t="str">
        <f ca="1"/>
        <v/>
      </c>
      <c r="Q13" s="792">
        <v>1.2</v>
      </c>
      <c r="R13" s="790">
        <f t="shared" ca="1" si="5"/>
        <v>0</v>
      </c>
      <c r="S13" s="127"/>
      <c r="T13" s="274" t="s">
        <v>497</v>
      </c>
      <c r="U13" s="605">
        <v>0</v>
      </c>
      <c r="V13" s="255" t="s">
        <v>498</v>
      </c>
      <c r="W13" s="160" t="str">
        <f t="shared" ref="W13:AZ13" ca="1" si="9">IF(_xlfn.XLOOKUP(W4,$K$8:$K$37,$G$8:$G$37)&gt;0,$U13*12,"")</f>
        <v/>
      </c>
      <c r="X13" s="160" t="str">
        <f t="shared" ca="1" si="9"/>
        <v/>
      </c>
      <c r="Y13" s="160" t="str">
        <f t="shared" ca="1" si="9"/>
        <v/>
      </c>
      <c r="Z13" s="160" t="str">
        <f t="shared" ca="1" si="9"/>
        <v/>
      </c>
      <c r="AA13" s="160" t="str">
        <f t="shared" ca="1" si="9"/>
        <v/>
      </c>
      <c r="AB13" s="292" t="str">
        <f t="shared" ca="1" si="9"/>
        <v/>
      </c>
      <c r="AC13" s="160" t="str">
        <f t="shared" ca="1" si="9"/>
        <v/>
      </c>
      <c r="AD13" s="160" t="str">
        <f t="shared" ca="1" si="9"/>
        <v/>
      </c>
      <c r="AE13" s="160">
        <f t="shared" ca="1" si="9"/>
        <v>0</v>
      </c>
      <c r="AF13" s="160" t="str">
        <f t="shared" ca="1" si="9"/>
        <v/>
      </c>
      <c r="AG13" s="160" t="str">
        <f t="shared" ca="1" si="9"/>
        <v/>
      </c>
      <c r="AH13" s="292" t="str">
        <f t="shared" ca="1" si="9"/>
        <v/>
      </c>
      <c r="AI13" s="160" t="str">
        <f t="shared" ca="1" si="9"/>
        <v/>
      </c>
      <c r="AJ13" s="160" t="str">
        <f t="shared" ca="1" si="9"/>
        <v/>
      </c>
      <c r="AK13" s="160">
        <f t="shared" ca="1" si="9"/>
        <v>0</v>
      </c>
      <c r="AL13" s="160" t="str">
        <f t="shared" ca="1" si="9"/>
        <v/>
      </c>
      <c r="AM13" s="160" t="str">
        <f t="shared" ca="1" si="9"/>
        <v/>
      </c>
      <c r="AN13" s="292" t="str">
        <f t="shared" ca="1" si="9"/>
        <v/>
      </c>
      <c r="AO13" s="160" t="str">
        <f t="shared" ca="1" si="9"/>
        <v/>
      </c>
      <c r="AP13" s="160" t="str">
        <f t="shared" ca="1" si="9"/>
        <v/>
      </c>
      <c r="AQ13" s="160">
        <f t="shared" ca="1" si="9"/>
        <v>0</v>
      </c>
      <c r="AR13" s="160" t="str">
        <f t="shared" ca="1" si="9"/>
        <v/>
      </c>
      <c r="AS13" s="160" t="str">
        <f t="shared" ca="1" si="9"/>
        <v/>
      </c>
      <c r="AT13" s="292" t="str">
        <f t="shared" ca="1" si="9"/>
        <v/>
      </c>
      <c r="AU13" s="160" t="str">
        <f t="shared" ca="1" si="9"/>
        <v/>
      </c>
      <c r="AV13" s="160" t="str">
        <f t="shared" ca="1" si="9"/>
        <v/>
      </c>
      <c r="AW13" s="160" t="str">
        <f t="shared" ca="1" si="9"/>
        <v/>
      </c>
      <c r="AX13" s="160" t="str">
        <f t="shared" ca="1" si="9"/>
        <v/>
      </c>
      <c r="AY13" s="160" t="str">
        <f t="shared" ca="1" si="9"/>
        <v/>
      </c>
      <c r="AZ13" s="160" t="str">
        <f t="shared" ca="1" si="9"/>
        <v/>
      </c>
      <c r="BA13" s="114"/>
    </row>
    <row r="14" spans="1:53" ht="14.45">
      <c r="B14" s="96" t="s">
        <v>229</v>
      </c>
      <c r="C14" s="145">
        <f>I45</f>
        <v>10500000</v>
      </c>
      <c r="D14" s="145">
        <f ca="1">IF($G$38&gt;0,C14/$G$38,0)</f>
        <v>875000</v>
      </c>
      <c r="E14" s="146">
        <f ca="1">C14/$C$18</f>
        <v>0.82666490249658175</v>
      </c>
      <c r="F14" s="117"/>
      <c r="G14" s="406">
        <f ca="1">IF(ISBLANK(OFFSET(G14,0,$J$3)),$H14,OFFSET(G14,0,$J$3))</f>
        <v>0</v>
      </c>
      <c r="H14" s="679">
        <v>0</v>
      </c>
      <c r="I14" s="587">
        <v>0</v>
      </c>
      <c r="J14" s="588">
        <v>0</v>
      </c>
      <c r="K14" s="379" t="s">
        <v>230</v>
      </c>
      <c r="L14" s="235">
        <v>1</v>
      </c>
      <c r="M14" s="380">
        <v>0.5</v>
      </c>
      <c r="N14" s="602">
        <v>275000</v>
      </c>
      <c r="O14" s="381" t="str">
        <f t="shared" ca="1" si="4"/>
        <v/>
      </c>
      <c r="P14" s="477" t="str">
        <f ca="1"/>
        <v/>
      </c>
      <c r="Q14" s="797" t="s">
        <v>218</v>
      </c>
      <c r="R14" s="790">
        <f t="shared" ca="1" si="5"/>
        <v>0</v>
      </c>
      <c r="S14" s="127"/>
      <c r="T14" s="274" t="s">
        <v>497</v>
      </c>
      <c r="U14" s="605">
        <v>25</v>
      </c>
      <c r="V14" s="270" t="s">
        <v>499</v>
      </c>
      <c r="W14" s="160" t="str">
        <f t="shared" ref="W14:AF15" ca="1" si="10">IF(_xlfn.XLOOKUP(W$4,$K$8:$K$37,$G$8:$G$37)&gt;0,$U14*12,"")</f>
        <v/>
      </c>
      <c r="X14" s="160" t="str">
        <f t="shared" ca="1" si="10"/>
        <v/>
      </c>
      <c r="Y14" s="160" t="str">
        <f t="shared" ca="1" si="10"/>
        <v/>
      </c>
      <c r="Z14" s="160" t="str">
        <f t="shared" ca="1" si="10"/>
        <v/>
      </c>
      <c r="AA14" s="160" t="str">
        <f t="shared" ca="1" si="10"/>
        <v/>
      </c>
      <c r="AB14" s="292" t="str">
        <f t="shared" ca="1" si="10"/>
        <v/>
      </c>
      <c r="AC14" s="160" t="str">
        <f t="shared" ca="1" si="10"/>
        <v/>
      </c>
      <c r="AD14" s="160" t="str">
        <f t="shared" ca="1" si="10"/>
        <v/>
      </c>
      <c r="AE14" s="160">
        <f t="shared" ca="1" si="10"/>
        <v>300</v>
      </c>
      <c r="AF14" s="160" t="str">
        <f t="shared" ca="1" si="10"/>
        <v/>
      </c>
      <c r="AG14" s="160" t="str">
        <f t="shared" ref="AG14:AP15" ca="1" si="11">IF(_xlfn.XLOOKUP(AG$4,$K$8:$K$37,$G$8:$G$37)&gt;0,$U14*12,"")</f>
        <v/>
      </c>
      <c r="AH14" s="292" t="str">
        <f t="shared" ca="1" si="11"/>
        <v/>
      </c>
      <c r="AI14" s="160" t="str">
        <f t="shared" ca="1" si="11"/>
        <v/>
      </c>
      <c r="AJ14" s="160" t="str">
        <f t="shared" ca="1" si="11"/>
        <v/>
      </c>
      <c r="AK14" s="160">
        <f t="shared" ca="1" si="11"/>
        <v>300</v>
      </c>
      <c r="AL14" s="160" t="str">
        <f t="shared" ca="1" si="11"/>
        <v/>
      </c>
      <c r="AM14" s="160" t="str">
        <f t="shared" ca="1" si="11"/>
        <v/>
      </c>
      <c r="AN14" s="292" t="str">
        <f t="shared" ca="1" si="11"/>
        <v/>
      </c>
      <c r="AO14" s="160" t="str">
        <f t="shared" ca="1" si="11"/>
        <v/>
      </c>
      <c r="AP14" s="160" t="str">
        <f t="shared" ca="1" si="11"/>
        <v/>
      </c>
      <c r="AQ14" s="160">
        <f t="shared" ref="AQ14:AZ15" ca="1" si="12">IF(_xlfn.XLOOKUP(AQ$4,$K$8:$K$37,$G$8:$G$37)&gt;0,$U14*12,"")</f>
        <v>300</v>
      </c>
      <c r="AR14" s="160" t="str">
        <f t="shared" ca="1" si="12"/>
        <v/>
      </c>
      <c r="AS14" s="160" t="str">
        <f t="shared" ca="1" si="12"/>
        <v/>
      </c>
      <c r="AT14" s="292" t="str">
        <f t="shared" ca="1" si="12"/>
        <v/>
      </c>
      <c r="AU14" s="160" t="str">
        <f t="shared" ca="1" si="12"/>
        <v/>
      </c>
      <c r="AV14" s="160" t="str">
        <f t="shared" ca="1" si="12"/>
        <v/>
      </c>
      <c r="AW14" s="160" t="str">
        <f t="shared" ca="1" si="12"/>
        <v/>
      </c>
      <c r="AX14" s="160" t="str">
        <f t="shared" ca="1" si="12"/>
        <v/>
      </c>
      <c r="AY14" s="160" t="str">
        <f t="shared" ca="1" si="12"/>
        <v/>
      </c>
      <c r="AZ14" s="160" t="str">
        <f t="shared" ca="1" si="12"/>
        <v/>
      </c>
      <c r="BA14" s="114"/>
    </row>
    <row r="15" spans="1:53" ht="14.45">
      <c r="B15" s="91" t="s">
        <v>448</v>
      </c>
      <c r="C15" s="115">
        <f ca="1">I54</f>
        <v>772714.8</v>
      </c>
      <c r="D15" s="115">
        <f t="shared" ref="D15:D17" ca="1" si="13">IF($G$38&gt;0,C15/$G$38,0)</f>
        <v>64392.9</v>
      </c>
      <c r="E15" s="116">
        <f ca="1">C15/$C$18</f>
        <v>6.0835829028539595E-2</v>
      </c>
      <c r="F15" s="117"/>
      <c r="G15" s="373">
        <f t="shared" ref="G15:G37" ca="1" si="14">IF(ISBLANK(OFFSET(G15,0,$J$3)),$H15,OFFSET(G15,0,$J$3))</f>
        <v>0</v>
      </c>
      <c r="H15" s="680">
        <v>0</v>
      </c>
      <c r="I15" s="590">
        <v>2</v>
      </c>
      <c r="J15" s="591">
        <v>0</v>
      </c>
      <c r="K15" s="125" t="s">
        <v>235</v>
      </c>
      <c r="L15" s="55">
        <v>1</v>
      </c>
      <c r="M15" s="126">
        <v>0.6</v>
      </c>
      <c r="N15" s="132">
        <f>N14</f>
        <v>275000</v>
      </c>
      <c r="O15" s="367" t="str">
        <f t="shared" ca="1" si="4"/>
        <v/>
      </c>
      <c r="P15" s="477" t="str">
        <f ca="1"/>
        <v/>
      </c>
      <c r="Q15" s="796" t="s">
        <v>226</v>
      </c>
      <c r="R15" s="817">
        <f ca="1">SUMPRODUCT(Q9:Q13,R9:R13)/SUM(R9:R13)</f>
        <v>0.80000000000000016</v>
      </c>
      <c r="S15" s="127"/>
      <c r="T15" s="274" t="s">
        <v>497</v>
      </c>
      <c r="U15" s="605">
        <v>15</v>
      </c>
      <c r="V15" s="270" t="s">
        <v>257</v>
      </c>
      <c r="W15" s="160" t="str">
        <f t="shared" ca="1" si="10"/>
        <v/>
      </c>
      <c r="X15" s="160" t="str">
        <f t="shared" ca="1" si="10"/>
        <v/>
      </c>
      <c r="Y15" s="160" t="str">
        <f t="shared" ca="1" si="10"/>
        <v/>
      </c>
      <c r="Z15" s="160" t="str">
        <f t="shared" ca="1" si="10"/>
        <v/>
      </c>
      <c r="AA15" s="160" t="str">
        <f t="shared" ca="1" si="10"/>
        <v/>
      </c>
      <c r="AB15" s="292" t="str">
        <f t="shared" ca="1" si="10"/>
        <v/>
      </c>
      <c r="AC15" s="160" t="str">
        <f t="shared" ca="1" si="10"/>
        <v/>
      </c>
      <c r="AD15" s="160" t="str">
        <f t="shared" ca="1" si="10"/>
        <v/>
      </c>
      <c r="AE15" s="160">
        <f t="shared" ca="1" si="10"/>
        <v>180</v>
      </c>
      <c r="AF15" s="160" t="str">
        <f t="shared" ca="1" si="10"/>
        <v/>
      </c>
      <c r="AG15" s="160" t="str">
        <f t="shared" ca="1" si="11"/>
        <v/>
      </c>
      <c r="AH15" s="292" t="str">
        <f t="shared" ca="1" si="11"/>
        <v/>
      </c>
      <c r="AI15" s="160" t="str">
        <f t="shared" ca="1" si="11"/>
        <v/>
      </c>
      <c r="AJ15" s="160" t="str">
        <f t="shared" ca="1" si="11"/>
        <v/>
      </c>
      <c r="AK15" s="160">
        <f t="shared" ca="1" si="11"/>
        <v>180</v>
      </c>
      <c r="AL15" s="160" t="str">
        <f t="shared" ca="1" si="11"/>
        <v/>
      </c>
      <c r="AM15" s="160" t="str">
        <f t="shared" ca="1" si="11"/>
        <v/>
      </c>
      <c r="AN15" s="292" t="str">
        <f t="shared" ca="1" si="11"/>
        <v/>
      </c>
      <c r="AO15" s="160" t="str">
        <f t="shared" ca="1" si="11"/>
        <v/>
      </c>
      <c r="AP15" s="160" t="str">
        <f t="shared" ca="1" si="11"/>
        <v/>
      </c>
      <c r="AQ15" s="160">
        <f t="shared" ca="1" si="12"/>
        <v>180</v>
      </c>
      <c r="AR15" s="160" t="str">
        <f t="shared" ca="1" si="12"/>
        <v/>
      </c>
      <c r="AS15" s="160" t="str">
        <f t="shared" ca="1" si="12"/>
        <v/>
      </c>
      <c r="AT15" s="292" t="str">
        <f t="shared" ca="1" si="12"/>
        <v/>
      </c>
      <c r="AU15" s="160" t="str">
        <f t="shared" ca="1" si="12"/>
        <v/>
      </c>
      <c r="AV15" s="160" t="str">
        <f t="shared" ca="1" si="12"/>
        <v/>
      </c>
      <c r="AW15" s="160" t="str">
        <f t="shared" ca="1" si="12"/>
        <v/>
      </c>
      <c r="AX15" s="160" t="str">
        <f t="shared" ca="1" si="12"/>
        <v/>
      </c>
      <c r="AY15" s="160" t="str">
        <f t="shared" ca="1" si="12"/>
        <v/>
      </c>
      <c r="AZ15" s="160" t="str">
        <f t="shared" ca="1" si="12"/>
        <v/>
      </c>
      <c r="BA15" s="114"/>
    </row>
    <row r="16" spans="1:53" ht="28.15" thickBot="1">
      <c r="B16" s="91" t="s">
        <v>500</v>
      </c>
      <c r="C16" s="115">
        <f ca="1">I80</f>
        <v>1348925.2094999999</v>
      </c>
      <c r="D16" s="115">
        <f t="shared" ca="1" si="13"/>
        <v>112410.43412499999</v>
      </c>
      <c r="E16" s="116">
        <f ca="1">C16/$C$18</f>
        <v>0.10620086921776177</v>
      </c>
      <c r="F16" s="117"/>
      <c r="G16" s="373">
        <f t="shared" ca="1" si="14"/>
        <v>4</v>
      </c>
      <c r="H16" s="680">
        <v>4</v>
      </c>
      <c r="I16" s="590">
        <v>2</v>
      </c>
      <c r="J16" s="592">
        <v>0</v>
      </c>
      <c r="K16" s="125" t="s">
        <v>239</v>
      </c>
      <c r="L16" s="55">
        <v>1</v>
      </c>
      <c r="M16" s="126">
        <v>0.8</v>
      </c>
      <c r="N16" s="132">
        <f>N14</f>
        <v>275000</v>
      </c>
      <c r="O16" s="367">
        <f t="shared" ca="1" si="4"/>
        <v>358697.78274057916</v>
      </c>
      <c r="P16" s="477">
        <f ca="1"/>
        <v>75000</v>
      </c>
      <c r="Q16" s="793" t="s">
        <v>231</v>
      </c>
      <c r="R16" s="818">
        <f ca="1">SUMIF(M8:M37,"&lt;="&amp;0.8,G8:G37)/G38</f>
        <v>1</v>
      </c>
      <c r="S16" s="127"/>
      <c r="T16" s="276"/>
      <c r="U16"/>
      <c r="V16" s="254" t="s">
        <v>501</v>
      </c>
      <c r="W16" s="275" t="str">
        <f ca="1">IF(_xlfn.XLOOKUP(W4,$K$8:$K$37,$G$8:$G$37)&gt;0,SUM(W11:W15),"")</f>
        <v/>
      </c>
      <c r="X16" s="275" t="str">
        <f t="shared" ref="X16:AZ16" ca="1" si="15">IF(_xlfn.XLOOKUP(X4,$K$8:$K$37,$G$8:$G$37)&gt;0,SUM(X11:X15),"")</f>
        <v/>
      </c>
      <c r="Y16" s="275" t="str">
        <f t="shared" ca="1" si="15"/>
        <v/>
      </c>
      <c r="Z16" s="275" t="str">
        <f t="shared" ca="1" si="15"/>
        <v/>
      </c>
      <c r="AA16" s="275" t="str">
        <f t="shared" ca="1" si="15"/>
        <v/>
      </c>
      <c r="AB16" s="295" t="str">
        <f t="shared" ca="1" si="15"/>
        <v/>
      </c>
      <c r="AC16" s="275" t="str">
        <f t="shared" ca="1" si="15"/>
        <v/>
      </c>
      <c r="AD16" s="275" t="str">
        <f t="shared" ca="1" si="15"/>
        <v/>
      </c>
      <c r="AE16" s="275">
        <f t="shared" ca="1" si="15"/>
        <v>5265</v>
      </c>
      <c r="AF16" s="275" t="str">
        <f t="shared" ca="1" si="15"/>
        <v/>
      </c>
      <c r="AG16" s="275" t="str">
        <f t="shared" ca="1" si="15"/>
        <v/>
      </c>
      <c r="AH16" s="295" t="str">
        <f t="shared" ca="1" si="15"/>
        <v/>
      </c>
      <c r="AI16" s="275" t="str">
        <f t="shared" ca="1" si="15"/>
        <v/>
      </c>
      <c r="AJ16" s="275" t="str">
        <f t="shared" ca="1" si="15"/>
        <v/>
      </c>
      <c r="AK16" s="275">
        <f t="shared" ca="1" si="15"/>
        <v>7440</v>
      </c>
      <c r="AL16" s="275" t="str">
        <f t="shared" ca="1" si="15"/>
        <v/>
      </c>
      <c r="AM16" s="275" t="str">
        <f t="shared" ca="1" si="15"/>
        <v/>
      </c>
      <c r="AN16" s="295" t="str">
        <f t="shared" ca="1" si="15"/>
        <v/>
      </c>
      <c r="AO16" s="275" t="str">
        <f t="shared" ca="1" si="15"/>
        <v/>
      </c>
      <c r="AP16" s="275" t="str">
        <f t="shared" ca="1" si="15"/>
        <v/>
      </c>
      <c r="AQ16" s="275">
        <f t="shared" ca="1" si="15"/>
        <v>9528</v>
      </c>
      <c r="AR16" s="275" t="str">
        <f t="shared" ca="1" si="15"/>
        <v/>
      </c>
      <c r="AS16" s="275" t="str">
        <f t="shared" ca="1" si="15"/>
        <v/>
      </c>
      <c r="AT16" s="295" t="str">
        <f t="shared" ca="1" si="15"/>
        <v/>
      </c>
      <c r="AU16" s="275" t="str">
        <f t="shared" ca="1" si="15"/>
        <v/>
      </c>
      <c r="AV16" s="275" t="str">
        <f t="shared" ca="1" si="15"/>
        <v/>
      </c>
      <c r="AW16" s="275" t="str">
        <f t="shared" ca="1" si="15"/>
        <v/>
      </c>
      <c r="AX16" s="275" t="str">
        <f t="shared" ca="1" si="15"/>
        <v/>
      </c>
      <c r="AY16" s="275" t="str">
        <f t="shared" ca="1" si="15"/>
        <v/>
      </c>
      <c r="AZ16" s="275" t="str">
        <f t="shared" ca="1" si="15"/>
        <v/>
      </c>
      <c r="BA16" s="114"/>
    </row>
    <row r="17" spans="1:53" ht="15" thickBot="1">
      <c r="B17" s="92" t="s">
        <v>449</v>
      </c>
      <c r="C17" s="123">
        <f>I84</f>
        <v>80000</v>
      </c>
      <c r="D17" s="123">
        <f t="shared" ca="1" si="13"/>
        <v>6666.666666666667</v>
      </c>
      <c r="E17" s="124">
        <f ca="1">C17/$C$18</f>
        <v>6.2983992571168136E-3</v>
      </c>
      <c r="F17" s="117"/>
      <c r="G17" s="373">
        <f t="shared" ca="1" si="14"/>
        <v>0</v>
      </c>
      <c r="H17" s="680">
        <v>0</v>
      </c>
      <c r="I17" s="590">
        <v>0</v>
      </c>
      <c r="J17" s="592">
        <v>0</v>
      </c>
      <c r="K17" s="125" t="s">
        <v>243</v>
      </c>
      <c r="L17" s="55">
        <v>1</v>
      </c>
      <c r="M17" s="126">
        <v>1</v>
      </c>
      <c r="N17" s="132">
        <f>N15</f>
        <v>275000</v>
      </c>
      <c r="O17" s="367" t="str">
        <f t="shared" ca="1" si="4"/>
        <v/>
      </c>
      <c r="P17" s="477" t="str">
        <f ca="1"/>
        <v/>
      </c>
      <c r="Q17" s="477"/>
      <c r="R17" s="477"/>
      <c r="S17" s="127"/>
      <c r="T17" s="273"/>
      <c r="U17"/>
      <c r="V17" s="270"/>
      <c r="W17" s="102"/>
      <c r="X17" s="102"/>
      <c r="Y17" s="102"/>
      <c r="Z17" s="102"/>
      <c r="AA17" s="102"/>
      <c r="AB17" s="293"/>
      <c r="AC17" s="102"/>
      <c r="AD17" s="102"/>
      <c r="AE17" s="102"/>
      <c r="AF17" s="102"/>
      <c r="AG17" s="102"/>
      <c r="AH17" s="293"/>
      <c r="AI17" s="102"/>
      <c r="AJ17" s="102"/>
      <c r="AK17" s="102"/>
      <c r="AL17" s="102"/>
      <c r="AM17" s="102"/>
      <c r="AN17" s="293"/>
      <c r="AO17" s="102"/>
      <c r="AP17" s="102"/>
      <c r="AQ17" s="102"/>
      <c r="AR17" s="102"/>
      <c r="AS17" s="102"/>
      <c r="AT17" s="293"/>
      <c r="AU17" s="102"/>
      <c r="AV17" s="102"/>
      <c r="AW17" s="102"/>
      <c r="AX17" s="102"/>
      <c r="AY17" s="102"/>
      <c r="AZ17" s="102"/>
      <c r="BA17" s="114"/>
    </row>
    <row r="18" spans="1:53" ht="26.65" customHeight="1" thickTop="1">
      <c r="B18" s="93" t="s">
        <v>242</v>
      </c>
      <c r="C18" s="130">
        <f ca="1">SUM(C14:C17)</f>
        <v>12701640.009500001</v>
      </c>
      <c r="D18" s="130">
        <f ca="1">SUM(D14:D17)</f>
        <v>1058470.0007916668</v>
      </c>
      <c r="E18" s="308">
        <f ca="1">SUM(E14:E17)</f>
        <v>0.99999999999999989</v>
      </c>
      <c r="F18" s="117"/>
      <c r="G18" s="373">
        <f t="shared" ca="1" si="14"/>
        <v>0</v>
      </c>
      <c r="H18" s="680">
        <v>0</v>
      </c>
      <c r="I18" s="590">
        <v>0</v>
      </c>
      <c r="J18" s="592">
        <v>0</v>
      </c>
      <c r="K18" s="125" t="s">
        <v>246</v>
      </c>
      <c r="L18" s="55">
        <v>1</v>
      </c>
      <c r="M18" s="126">
        <v>1.2</v>
      </c>
      <c r="N18" s="132">
        <f>N16</f>
        <v>275000</v>
      </c>
      <c r="O18" s="367" t="str">
        <f t="shared" ca="1" si="4"/>
        <v/>
      </c>
      <c r="P18" s="477" t="str">
        <f ca="1"/>
        <v/>
      </c>
      <c r="Q18" s="477"/>
      <c r="R18" s="477"/>
      <c r="S18" s="127"/>
      <c r="T18" s="273"/>
      <c r="U18"/>
      <c r="V18" s="270" t="s">
        <v>502</v>
      </c>
      <c r="W18" s="160" t="str">
        <f ca="1">IFERROR(W9-W16,"")</f>
        <v/>
      </c>
      <c r="X18" s="160" t="str">
        <f t="shared" ref="X18:AZ18" ca="1" si="16">IFERROR(X9-X16,"")</f>
        <v/>
      </c>
      <c r="Y18" s="160" t="str">
        <f t="shared" ca="1" si="16"/>
        <v/>
      </c>
      <c r="Z18" s="160" t="str">
        <f t="shared" ca="1" si="16"/>
        <v/>
      </c>
      <c r="AA18" s="160" t="str">
        <f t="shared" ca="1" si="16"/>
        <v/>
      </c>
      <c r="AB18" s="292" t="str">
        <f t="shared" ca="1" si="16"/>
        <v/>
      </c>
      <c r="AC18" s="160" t="str">
        <f t="shared" ca="1" si="16"/>
        <v/>
      </c>
      <c r="AD18" s="160" t="str">
        <f t="shared" ca="1" si="16"/>
        <v/>
      </c>
      <c r="AE18" s="160">
        <f t="shared" ca="1" si="16"/>
        <v>17199</v>
      </c>
      <c r="AF18" s="160" t="str">
        <f t="shared" ca="1" si="16"/>
        <v/>
      </c>
      <c r="AG18" s="160" t="str">
        <f t="shared" ca="1" si="16"/>
        <v/>
      </c>
      <c r="AH18" s="292" t="str">
        <f t="shared" ca="1" si="16"/>
        <v/>
      </c>
      <c r="AI18" s="160" t="str">
        <f t="shared" ca="1" si="16"/>
        <v/>
      </c>
      <c r="AJ18" s="160" t="str">
        <f t="shared" ca="1" si="16"/>
        <v/>
      </c>
      <c r="AK18" s="160">
        <f t="shared" ca="1" si="16"/>
        <v>17808</v>
      </c>
      <c r="AL18" s="160" t="str">
        <f t="shared" ca="1" si="16"/>
        <v/>
      </c>
      <c r="AM18" s="160" t="str">
        <f t="shared" ca="1" si="16"/>
        <v/>
      </c>
      <c r="AN18" s="292" t="str">
        <f t="shared" ca="1" si="16"/>
        <v/>
      </c>
      <c r="AO18" s="160" t="str">
        <f t="shared" ca="1" si="16"/>
        <v/>
      </c>
      <c r="AP18" s="160" t="str">
        <f t="shared" ca="1" si="16"/>
        <v/>
      </c>
      <c r="AQ18" s="160">
        <f t="shared" ca="1" si="16"/>
        <v>18528</v>
      </c>
      <c r="AR18" s="160" t="str">
        <f t="shared" ca="1" si="16"/>
        <v/>
      </c>
      <c r="AS18" s="160" t="str">
        <f t="shared" ca="1" si="16"/>
        <v/>
      </c>
      <c r="AT18" s="292" t="str">
        <f t="shared" ca="1" si="16"/>
        <v/>
      </c>
      <c r="AU18" s="160" t="str">
        <f t="shared" ca="1" si="16"/>
        <v/>
      </c>
      <c r="AV18" s="160" t="str">
        <f t="shared" ca="1" si="16"/>
        <v/>
      </c>
      <c r="AW18" s="160" t="str">
        <f t="shared" ca="1" si="16"/>
        <v/>
      </c>
      <c r="AX18" s="160" t="str">
        <f t="shared" ca="1" si="16"/>
        <v/>
      </c>
      <c r="AY18" s="160" t="str">
        <f t="shared" ca="1" si="16"/>
        <v/>
      </c>
      <c r="AZ18" s="160" t="str">
        <f t="shared" ca="1" si="16"/>
        <v/>
      </c>
      <c r="BA18" s="114"/>
    </row>
    <row r="19" spans="1:53" s="86" customFormat="1" ht="15">
      <c r="A19" s="51"/>
      <c r="B19" s="94"/>
      <c r="C19" s="135"/>
      <c r="D19" s="135"/>
      <c r="E19" s="116"/>
      <c r="F19" s="117"/>
      <c r="G19" s="374">
        <f t="shared" ca="1" si="14"/>
        <v>0</v>
      </c>
      <c r="H19" s="681">
        <v>0</v>
      </c>
      <c r="I19" s="597">
        <v>0</v>
      </c>
      <c r="J19" s="598">
        <v>0</v>
      </c>
      <c r="K19" s="407" t="s">
        <v>252</v>
      </c>
      <c r="L19" s="327">
        <v>1</v>
      </c>
      <c r="M19" s="327" t="s">
        <v>218</v>
      </c>
      <c r="N19" s="408">
        <f>N15</f>
        <v>275000</v>
      </c>
      <c r="O19" s="409" t="str">
        <f t="shared" ca="1" si="4"/>
        <v/>
      </c>
      <c r="P19" s="477" t="str">
        <f ca="1"/>
        <v/>
      </c>
      <c r="Q19" s="477"/>
      <c r="R19" s="477"/>
      <c r="S19" s="137"/>
      <c r="T19" s="277" t="s">
        <v>503</v>
      </c>
      <c r="U19" s="685">
        <v>5.9990000000000002E-2</v>
      </c>
      <c r="V19" s="270" t="s">
        <v>504</v>
      </c>
      <c r="W19" s="278" t="str">
        <f t="shared" ref="W19:AZ19" ca="1" si="17">IF(_xlfn.XLOOKUP(W4,$K$8:$K$37,$G$8:$G$37)&gt;0,$U$19,"")</f>
        <v/>
      </c>
      <c r="X19" s="278" t="str">
        <f t="shared" ca="1" si="17"/>
        <v/>
      </c>
      <c r="Y19" s="278" t="str">
        <f t="shared" ca="1" si="17"/>
        <v/>
      </c>
      <c r="Z19" s="278" t="str">
        <f t="shared" ca="1" si="17"/>
        <v/>
      </c>
      <c r="AA19" s="278" t="str">
        <f t="shared" ca="1" si="17"/>
        <v/>
      </c>
      <c r="AB19" s="296" t="str">
        <f t="shared" ca="1" si="17"/>
        <v/>
      </c>
      <c r="AC19" s="278" t="str">
        <f t="shared" ca="1" si="17"/>
        <v/>
      </c>
      <c r="AD19" s="278" t="str">
        <f t="shared" ca="1" si="17"/>
        <v/>
      </c>
      <c r="AE19" s="278">
        <f t="shared" ca="1" si="17"/>
        <v>5.9990000000000002E-2</v>
      </c>
      <c r="AF19" s="278" t="str">
        <f t="shared" ca="1" si="17"/>
        <v/>
      </c>
      <c r="AG19" s="278" t="str">
        <f t="shared" ca="1" si="17"/>
        <v/>
      </c>
      <c r="AH19" s="296" t="str">
        <f t="shared" ca="1" si="17"/>
        <v/>
      </c>
      <c r="AI19" s="278" t="str">
        <f t="shared" ca="1" si="17"/>
        <v/>
      </c>
      <c r="AJ19" s="278" t="str">
        <f t="shared" ca="1" si="17"/>
        <v/>
      </c>
      <c r="AK19" s="278">
        <f t="shared" ca="1" si="17"/>
        <v>5.9990000000000002E-2</v>
      </c>
      <c r="AL19" s="278" t="str">
        <f t="shared" ca="1" si="17"/>
        <v/>
      </c>
      <c r="AM19" s="278" t="str">
        <f t="shared" ca="1" si="17"/>
        <v/>
      </c>
      <c r="AN19" s="296" t="str">
        <f t="shared" ca="1" si="17"/>
        <v/>
      </c>
      <c r="AO19" s="278" t="str">
        <f t="shared" ca="1" si="17"/>
        <v/>
      </c>
      <c r="AP19" s="278" t="str">
        <f t="shared" ca="1" si="17"/>
        <v/>
      </c>
      <c r="AQ19" s="278">
        <f t="shared" ca="1" si="17"/>
        <v>5.9990000000000002E-2</v>
      </c>
      <c r="AR19" s="278" t="str">
        <f t="shared" ca="1" si="17"/>
        <v/>
      </c>
      <c r="AS19" s="278" t="str">
        <f t="shared" ca="1" si="17"/>
        <v/>
      </c>
      <c r="AT19" s="296" t="str">
        <f t="shared" ca="1" si="17"/>
        <v/>
      </c>
      <c r="AU19" s="278" t="str">
        <f t="shared" ca="1" si="17"/>
        <v/>
      </c>
      <c r="AV19" s="278" t="str">
        <f t="shared" ca="1" si="17"/>
        <v/>
      </c>
      <c r="AW19" s="278" t="str">
        <f t="shared" ca="1" si="17"/>
        <v/>
      </c>
      <c r="AX19" s="278" t="str">
        <f t="shared" ca="1" si="17"/>
        <v/>
      </c>
      <c r="AY19" s="278" t="str">
        <f t="shared" ca="1" si="17"/>
        <v/>
      </c>
      <c r="AZ19" s="278" t="str">
        <f t="shared" ca="1" si="17"/>
        <v/>
      </c>
      <c r="BA19" s="114"/>
    </row>
    <row r="20" spans="1:53" ht="15.6">
      <c r="B20" s="462" t="s">
        <v>249</v>
      </c>
      <c r="C20" s="465" t="s">
        <v>250</v>
      </c>
      <c r="D20" s="463" t="s">
        <v>223</v>
      </c>
      <c r="E20" s="464" t="s">
        <v>251</v>
      </c>
      <c r="F20" s="117"/>
      <c r="G20" s="406">
        <f t="shared" ca="1" si="14"/>
        <v>0</v>
      </c>
      <c r="H20" s="679">
        <v>0</v>
      </c>
      <c r="I20" s="587">
        <v>0</v>
      </c>
      <c r="J20" s="588">
        <v>0</v>
      </c>
      <c r="K20" s="379" t="s">
        <v>255</v>
      </c>
      <c r="L20" s="235">
        <v>2</v>
      </c>
      <c r="M20" s="380">
        <v>0.5</v>
      </c>
      <c r="N20" s="602">
        <v>400000</v>
      </c>
      <c r="O20" s="381" t="str">
        <f t="shared" ca="1" si="4"/>
        <v/>
      </c>
      <c r="P20" s="477" t="str">
        <f ca="1"/>
        <v/>
      </c>
      <c r="Q20" s="477"/>
      <c r="R20" s="477"/>
      <c r="S20" s="127"/>
      <c r="T20" s="279">
        <v>45709</v>
      </c>
      <c r="U20"/>
      <c r="V20" s="254" t="s">
        <v>505</v>
      </c>
      <c r="W20" s="280" t="str">
        <f ca="1">IFERROR(PV(W19,12*30,-W18,0),"")</f>
        <v/>
      </c>
      <c r="X20" s="280" t="str">
        <f t="shared" ref="X20:AZ20" ca="1" si="18">IFERROR(PV(X19,12*30,-X18,0),"")</f>
        <v/>
      </c>
      <c r="Y20" s="280" t="str">
        <f t="shared" ca="1" si="18"/>
        <v/>
      </c>
      <c r="Z20" s="280" t="str">
        <f t="shared" ca="1" si="18"/>
        <v/>
      </c>
      <c r="AA20" s="280" t="str">
        <f t="shared" ca="1" si="18"/>
        <v/>
      </c>
      <c r="AB20" s="297" t="str">
        <f t="shared" ca="1" si="18"/>
        <v/>
      </c>
      <c r="AC20" s="280" t="str">
        <f t="shared" ca="1" si="18"/>
        <v/>
      </c>
      <c r="AD20" s="280" t="str">
        <f t="shared" ca="1" si="18"/>
        <v/>
      </c>
      <c r="AE20" s="280">
        <f t="shared" ca="1" si="18"/>
        <v>286697.78274057916</v>
      </c>
      <c r="AF20" s="280" t="str">
        <f t="shared" ca="1" si="18"/>
        <v/>
      </c>
      <c r="AG20" s="280" t="str">
        <f t="shared" ca="1" si="18"/>
        <v/>
      </c>
      <c r="AH20" s="297" t="str">
        <f t="shared" ca="1" si="18"/>
        <v/>
      </c>
      <c r="AI20" s="280" t="str">
        <f t="shared" ca="1" si="18"/>
        <v/>
      </c>
      <c r="AJ20" s="280" t="str">
        <f t="shared" ca="1" si="18"/>
        <v/>
      </c>
      <c r="AK20" s="280">
        <f t="shared" ca="1" si="18"/>
        <v>296849.47468133224</v>
      </c>
      <c r="AL20" s="280" t="str">
        <f t="shared" ca="1" si="18"/>
        <v/>
      </c>
      <c r="AM20" s="280" t="str">
        <f t="shared" ca="1" si="18"/>
        <v/>
      </c>
      <c r="AN20" s="297" t="str">
        <f t="shared" ca="1" si="18"/>
        <v/>
      </c>
      <c r="AO20" s="280" t="str">
        <f t="shared" ca="1" si="18"/>
        <v/>
      </c>
      <c r="AP20" s="280" t="str">
        <f t="shared" ca="1" si="18"/>
        <v/>
      </c>
      <c r="AQ20" s="280">
        <f t="shared" ca="1" si="18"/>
        <v>308851.47500537534</v>
      </c>
      <c r="AR20" s="280" t="str">
        <f t="shared" ca="1" si="18"/>
        <v/>
      </c>
      <c r="AS20" s="280" t="str">
        <f t="shared" ca="1" si="18"/>
        <v/>
      </c>
      <c r="AT20" s="297" t="str">
        <f t="shared" ca="1" si="18"/>
        <v/>
      </c>
      <c r="AU20" s="280" t="str">
        <f t="shared" ca="1" si="18"/>
        <v/>
      </c>
      <c r="AV20" s="280" t="str">
        <f t="shared" ca="1" si="18"/>
        <v/>
      </c>
      <c r="AW20" s="280" t="str">
        <f t="shared" ca="1" si="18"/>
        <v/>
      </c>
      <c r="AX20" s="280" t="str">
        <f t="shared" ca="1" si="18"/>
        <v/>
      </c>
      <c r="AY20" s="280" t="str">
        <f t="shared" ca="1" si="18"/>
        <v/>
      </c>
      <c r="AZ20" s="280" t="str">
        <f t="shared" ca="1" si="18"/>
        <v/>
      </c>
      <c r="BA20" s="114"/>
    </row>
    <row r="21" spans="1:53" ht="15">
      <c r="A21" s="86"/>
      <c r="B21" s="91" t="str">
        <f>L44</f>
        <v>Acq/Rehab Senior Loan</v>
      </c>
      <c r="C21" s="115">
        <f ca="1">M45*I86</f>
        <v>9526230.0071250014</v>
      </c>
      <c r="D21" s="115">
        <f ca="1">IF($G$38&gt;0,C21/$G$38,0)</f>
        <v>793852.50059375016</v>
      </c>
      <c r="E21" s="116">
        <f t="shared" ref="E21:E27" ca="1" si="19">C21/$C$28</f>
        <v>0.7369689384974657</v>
      </c>
      <c r="F21" s="117"/>
      <c r="G21" s="373">
        <f t="shared" ca="1" si="14"/>
        <v>0</v>
      </c>
      <c r="H21" s="680">
        <v>0</v>
      </c>
      <c r="I21" s="590">
        <v>2</v>
      </c>
      <c r="J21" s="592">
        <v>0</v>
      </c>
      <c r="K21" s="125" t="s">
        <v>258</v>
      </c>
      <c r="L21" s="55">
        <v>2</v>
      </c>
      <c r="M21" s="126">
        <v>0.6</v>
      </c>
      <c r="N21" s="132">
        <f>N20</f>
        <v>400000</v>
      </c>
      <c r="O21" s="367" t="str">
        <f t="shared" ca="1" si="4"/>
        <v/>
      </c>
      <c r="P21" s="477" t="str">
        <f ca="1"/>
        <v/>
      </c>
      <c r="Q21" s="477"/>
      <c r="R21" s="477"/>
      <c r="S21" s="127"/>
      <c r="T21" s="273"/>
      <c r="U21"/>
      <c r="V21" s="270"/>
      <c r="W21" s="102"/>
      <c r="X21" s="102"/>
      <c r="Y21" s="102"/>
      <c r="Z21" s="102"/>
      <c r="AA21" s="102"/>
      <c r="AB21" s="293"/>
      <c r="AC21" s="102"/>
      <c r="AD21" s="102"/>
      <c r="AE21" s="102"/>
      <c r="AF21" s="102"/>
      <c r="AG21" s="102"/>
      <c r="AH21" s="293"/>
      <c r="AI21" s="102"/>
      <c r="AJ21" s="102"/>
      <c r="AK21" s="102"/>
      <c r="AL21" s="102"/>
      <c r="AM21" s="102"/>
      <c r="AN21" s="293"/>
      <c r="AO21" s="102"/>
      <c r="AP21" s="102"/>
      <c r="AQ21" s="102"/>
      <c r="AR21" s="102"/>
      <c r="AS21" s="102"/>
      <c r="AT21" s="293"/>
      <c r="AU21" s="102"/>
      <c r="AV21" s="102"/>
      <c r="AW21" s="102"/>
      <c r="AX21" s="102"/>
      <c r="AY21" s="102"/>
      <c r="AZ21" s="102"/>
      <c r="BA21" s="114"/>
    </row>
    <row r="22" spans="1:53" ht="14.45">
      <c r="B22" s="91" t="str">
        <f>L51</f>
        <v>Subordinate Loan #1</v>
      </c>
      <c r="C22" s="115">
        <f ca="1">M52</f>
        <v>250000</v>
      </c>
      <c r="D22" s="115">
        <f t="shared" ref="D22:D27" ca="1" si="20">IF($G$38&gt;0,C22/$G$38,0)</f>
        <v>20833.333333333332</v>
      </c>
      <c r="E22" s="116">
        <f t="shared" ca="1" si="19"/>
        <v>1.9340519228127517E-2</v>
      </c>
      <c r="F22" s="108"/>
      <c r="G22" s="373">
        <f t="shared" ca="1" si="14"/>
        <v>4</v>
      </c>
      <c r="H22" s="680">
        <v>4</v>
      </c>
      <c r="I22" s="590">
        <v>2</v>
      </c>
      <c r="J22" s="592">
        <v>0</v>
      </c>
      <c r="K22" s="125" t="s">
        <v>261</v>
      </c>
      <c r="L22" s="55">
        <v>2</v>
      </c>
      <c r="M22" s="126">
        <v>0.8</v>
      </c>
      <c r="N22" s="132">
        <f>N20</f>
        <v>400000</v>
      </c>
      <c r="O22" s="367">
        <f t="shared" ca="1" si="4"/>
        <v>368849.47468133224</v>
      </c>
      <c r="P22" s="477">
        <f ca="1"/>
        <v>75000</v>
      </c>
      <c r="Q22" s="477"/>
      <c r="R22" s="477"/>
      <c r="S22" s="127"/>
      <c r="T22" s="274" t="s">
        <v>506</v>
      </c>
      <c r="U22" s="268">
        <v>75000</v>
      </c>
      <c r="V22" s="270" t="s">
        <v>507</v>
      </c>
      <c r="W22" s="160" t="str">
        <f t="shared" ref="W22:AZ22" ca="1" si="21">IF(_xlfn.XLOOKUP(W4,$K$8:$K$37,$G$8:$G$37)&gt;0,$U$22,"")</f>
        <v/>
      </c>
      <c r="X22" s="160" t="str">
        <f t="shared" ca="1" si="21"/>
        <v/>
      </c>
      <c r="Y22" s="160" t="str">
        <f t="shared" ca="1" si="21"/>
        <v/>
      </c>
      <c r="Z22" s="160" t="str">
        <f t="shared" ca="1" si="21"/>
        <v/>
      </c>
      <c r="AA22" s="160" t="str">
        <f t="shared" ca="1" si="21"/>
        <v/>
      </c>
      <c r="AB22" s="292" t="str">
        <f t="shared" ca="1" si="21"/>
        <v/>
      </c>
      <c r="AC22" s="160" t="str">
        <f t="shared" ca="1" si="21"/>
        <v/>
      </c>
      <c r="AD22" s="160" t="str">
        <f t="shared" ca="1" si="21"/>
        <v/>
      </c>
      <c r="AE22" s="160">
        <f t="shared" ca="1" si="21"/>
        <v>75000</v>
      </c>
      <c r="AF22" s="160" t="str">
        <f t="shared" ca="1" si="21"/>
        <v/>
      </c>
      <c r="AG22" s="160" t="str">
        <f t="shared" ca="1" si="21"/>
        <v/>
      </c>
      <c r="AH22" s="292" t="str">
        <f t="shared" ca="1" si="21"/>
        <v/>
      </c>
      <c r="AI22" s="160" t="str">
        <f t="shared" ca="1" si="21"/>
        <v/>
      </c>
      <c r="AJ22" s="160" t="str">
        <f t="shared" ca="1" si="21"/>
        <v/>
      </c>
      <c r="AK22" s="160">
        <f t="shared" ca="1" si="21"/>
        <v>75000</v>
      </c>
      <c r="AL22" s="160" t="str">
        <f t="shared" ca="1" si="21"/>
        <v/>
      </c>
      <c r="AM22" s="160" t="str">
        <f t="shared" ca="1" si="21"/>
        <v/>
      </c>
      <c r="AN22" s="292" t="str">
        <f t="shared" ca="1" si="21"/>
        <v/>
      </c>
      <c r="AO22" s="160" t="str">
        <f t="shared" ca="1" si="21"/>
        <v/>
      </c>
      <c r="AP22" s="160" t="str">
        <f t="shared" ca="1" si="21"/>
        <v/>
      </c>
      <c r="AQ22" s="160">
        <f t="shared" ca="1" si="21"/>
        <v>75000</v>
      </c>
      <c r="AR22" s="160" t="str">
        <f t="shared" ca="1" si="21"/>
        <v/>
      </c>
      <c r="AS22" s="160" t="str">
        <f t="shared" ca="1" si="21"/>
        <v/>
      </c>
      <c r="AT22" s="292" t="str">
        <f t="shared" ca="1" si="21"/>
        <v/>
      </c>
      <c r="AU22" s="160" t="str">
        <f t="shared" ca="1" si="21"/>
        <v/>
      </c>
      <c r="AV22" s="160" t="str">
        <f t="shared" ca="1" si="21"/>
        <v/>
      </c>
      <c r="AW22" s="160" t="str">
        <f t="shared" ca="1" si="21"/>
        <v/>
      </c>
      <c r="AX22" s="160" t="str">
        <f t="shared" ca="1" si="21"/>
        <v/>
      </c>
      <c r="AY22" s="160" t="str">
        <f t="shared" ca="1" si="21"/>
        <v/>
      </c>
      <c r="AZ22" s="160" t="str">
        <f t="shared" ca="1" si="21"/>
        <v/>
      </c>
      <c r="BA22" s="114"/>
    </row>
    <row r="23" spans="1:53" ht="15.6">
      <c r="B23" s="91" t="str">
        <f>L60</f>
        <v>Rehab Tax Credits</v>
      </c>
      <c r="C23" s="115">
        <f ca="1">M61*M62*M63</f>
        <v>0</v>
      </c>
      <c r="D23" s="115">
        <f t="shared" ca="1" si="20"/>
        <v>0</v>
      </c>
      <c r="E23" s="116">
        <f t="shared" ca="1" si="19"/>
        <v>0</v>
      </c>
      <c r="F23" s="117"/>
      <c r="G23" s="373">
        <f t="shared" ca="1" si="14"/>
        <v>0</v>
      </c>
      <c r="H23" s="680">
        <v>0</v>
      </c>
      <c r="I23" s="590">
        <v>0</v>
      </c>
      <c r="J23" s="592">
        <v>0</v>
      </c>
      <c r="K23" s="125" t="s">
        <v>262</v>
      </c>
      <c r="L23" s="55">
        <v>2</v>
      </c>
      <c r="M23" s="126">
        <v>1</v>
      </c>
      <c r="N23" s="132">
        <f>N21</f>
        <v>400000</v>
      </c>
      <c r="O23" s="367" t="str">
        <f t="shared" ca="1" si="4"/>
        <v/>
      </c>
      <c r="P23" s="477" t="str">
        <f ca="1"/>
        <v/>
      </c>
      <c r="Q23" s="477"/>
      <c r="R23" s="477"/>
      <c r="S23" s="127"/>
      <c r="T23" s="274"/>
      <c r="U23" s="686"/>
      <c r="V23" s="270"/>
      <c r="W23" s="102"/>
      <c r="X23" s="102"/>
      <c r="Y23" s="102"/>
      <c r="Z23" s="102"/>
      <c r="AA23" s="102"/>
      <c r="AB23" s="293"/>
      <c r="AC23" s="102"/>
      <c r="AD23" s="102"/>
      <c r="AE23" s="102"/>
      <c r="AF23" s="102"/>
      <c r="AG23" s="102"/>
      <c r="AH23" s="293"/>
      <c r="AI23" s="102"/>
      <c r="AJ23" s="102"/>
      <c r="AK23" s="102"/>
      <c r="AL23" s="102"/>
      <c r="AM23" s="102"/>
      <c r="AN23" s="293"/>
      <c r="AO23" s="102"/>
      <c r="AP23" s="102"/>
      <c r="AQ23" s="102"/>
      <c r="AR23" s="102"/>
      <c r="AS23" s="102"/>
      <c r="AT23" s="293"/>
      <c r="AU23" s="102"/>
      <c r="AV23" s="102"/>
      <c r="AW23" s="102"/>
      <c r="AX23" s="102"/>
      <c r="AY23" s="102"/>
      <c r="AZ23" s="102"/>
      <c r="BA23" s="114"/>
    </row>
    <row r="24" spans="1:53" ht="28.9">
      <c r="B24" s="91" t="str">
        <f>L66</f>
        <v>Sponsor Equity</v>
      </c>
      <c r="C24" s="115">
        <f ca="1">M67</f>
        <v>150000</v>
      </c>
      <c r="D24" s="115">
        <f t="shared" ca="1" si="20"/>
        <v>12500</v>
      </c>
      <c r="E24" s="116">
        <f t="shared" ca="1" si="19"/>
        <v>1.1604311536876511E-2</v>
      </c>
      <c r="F24" s="117"/>
      <c r="G24" s="373">
        <f t="shared" ca="1" si="14"/>
        <v>0</v>
      </c>
      <c r="H24" s="680">
        <v>0</v>
      </c>
      <c r="I24" s="590">
        <v>0</v>
      </c>
      <c r="J24" s="592">
        <v>0</v>
      </c>
      <c r="K24" s="125" t="s">
        <v>264</v>
      </c>
      <c r="L24" s="55">
        <v>2</v>
      </c>
      <c r="M24" s="126">
        <v>1.2</v>
      </c>
      <c r="N24" s="132">
        <f>N22</f>
        <v>400000</v>
      </c>
      <c r="O24" s="367" t="str">
        <f t="shared" ca="1" si="4"/>
        <v/>
      </c>
      <c r="P24" s="477" t="str">
        <f ca="1"/>
        <v/>
      </c>
      <c r="Q24" s="477"/>
      <c r="R24" s="477"/>
      <c r="S24" s="127"/>
      <c r="T24" s="274" t="s">
        <v>506</v>
      </c>
      <c r="U24" s="605">
        <v>3000</v>
      </c>
      <c r="V24" s="270" t="s">
        <v>508</v>
      </c>
      <c r="W24" s="160" t="str">
        <f t="shared" ref="W24:AZ24" ca="1" si="22">IF(_xlfn.XLOOKUP(W4,$K$8:$K$37,$G$8:$G$37)&gt;0,$U$24,"")</f>
        <v/>
      </c>
      <c r="X24" s="160" t="str">
        <f t="shared" ca="1" si="22"/>
        <v/>
      </c>
      <c r="Y24" s="160" t="str">
        <f t="shared" ca="1" si="22"/>
        <v/>
      </c>
      <c r="Z24" s="160" t="str">
        <f t="shared" ca="1" si="22"/>
        <v/>
      </c>
      <c r="AA24" s="160" t="str">
        <f t="shared" ca="1" si="22"/>
        <v/>
      </c>
      <c r="AB24" s="292" t="str">
        <f t="shared" ca="1" si="22"/>
        <v/>
      </c>
      <c r="AC24" s="160" t="str">
        <f t="shared" ca="1" si="22"/>
        <v/>
      </c>
      <c r="AD24" s="160" t="str">
        <f t="shared" ca="1" si="22"/>
        <v/>
      </c>
      <c r="AE24" s="160">
        <f t="shared" ca="1" si="22"/>
        <v>3000</v>
      </c>
      <c r="AF24" s="160" t="str">
        <f t="shared" ca="1" si="22"/>
        <v/>
      </c>
      <c r="AG24" s="160" t="str">
        <f t="shared" ca="1" si="22"/>
        <v/>
      </c>
      <c r="AH24" s="292" t="str">
        <f t="shared" ca="1" si="22"/>
        <v/>
      </c>
      <c r="AI24" s="160" t="str">
        <f t="shared" ca="1" si="22"/>
        <v/>
      </c>
      <c r="AJ24" s="160" t="str">
        <f t="shared" ca="1" si="22"/>
        <v/>
      </c>
      <c r="AK24" s="160">
        <f t="shared" ca="1" si="22"/>
        <v>3000</v>
      </c>
      <c r="AL24" s="160" t="str">
        <f t="shared" ca="1" si="22"/>
        <v/>
      </c>
      <c r="AM24" s="160" t="str">
        <f t="shared" ca="1" si="22"/>
        <v/>
      </c>
      <c r="AN24" s="292" t="str">
        <f t="shared" ca="1" si="22"/>
        <v/>
      </c>
      <c r="AO24" s="160" t="str">
        <f t="shared" ca="1" si="22"/>
        <v/>
      </c>
      <c r="AP24" s="160" t="str">
        <f t="shared" ca="1" si="22"/>
        <v/>
      </c>
      <c r="AQ24" s="160">
        <f t="shared" ca="1" si="22"/>
        <v>3000</v>
      </c>
      <c r="AR24" s="160" t="str">
        <f t="shared" ca="1" si="22"/>
        <v/>
      </c>
      <c r="AS24" s="160" t="str">
        <f t="shared" ca="1" si="22"/>
        <v/>
      </c>
      <c r="AT24" s="292" t="str">
        <f t="shared" ca="1" si="22"/>
        <v/>
      </c>
      <c r="AU24" s="160" t="str">
        <f t="shared" ca="1" si="22"/>
        <v/>
      </c>
      <c r="AV24" s="160" t="str">
        <f t="shared" ca="1" si="22"/>
        <v/>
      </c>
      <c r="AW24" s="160" t="str">
        <f t="shared" ca="1" si="22"/>
        <v/>
      </c>
      <c r="AX24" s="160" t="str">
        <f t="shared" ca="1" si="22"/>
        <v/>
      </c>
      <c r="AY24" s="160" t="str">
        <f t="shared" ca="1" si="22"/>
        <v/>
      </c>
      <c r="AZ24" s="160" t="str">
        <f t="shared" ca="1" si="22"/>
        <v/>
      </c>
      <c r="BA24" s="114"/>
    </row>
    <row r="25" spans="1:53" ht="14.45">
      <c r="B25" s="91" t="str">
        <f>L70</f>
        <v>Grant Type #1</v>
      </c>
      <c r="C25" s="115">
        <f ca="1">M71</f>
        <v>3000000</v>
      </c>
      <c r="D25" s="115">
        <f t="shared" ca="1" si="20"/>
        <v>250000</v>
      </c>
      <c r="E25" s="116">
        <f t="shared" ca="1" si="19"/>
        <v>0.23208623073753024</v>
      </c>
      <c r="F25" s="117"/>
      <c r="G25" s="374">
        <f t="shared" ca="1" si="14"/>
        <v>0</v>
      </c>
      <c r="H25" s="681">
        <v>0</v>
      </c>
      <c r="I25" s="597">
        <v>0</v>
      </c>
      <c r="J25" s="598">
        <v>0</v>
      </c>
      <c r="K25" s="407" t="s">
        <v>265</v>
      </c>
      <c r="L25" s="327">
        <v>2</v>
      </c>
      <c r="M25" s="327" t="s">
        <v>218</v>
      </c>
      <c r="N25" s="408">
        <f>N21</f>
        <v>400000</v>
      </c>
      <c r="O25" s="409" t="str">
        <f t="shared" ca="1" si="4"/>
        <v/>
      </c>
      <c r="P25" s="477" t="str">
        <f ca="1"/>
        <v/>
      </c>
      <c r="Q25" s="477"/>
      <c r="R25" s="477"/>
      <c r="S25" s="127"/>
      <c r="T25" s="282"/>
      <c r="U25"/>
      <c r="V25" s="272"/>
      <c r="W25" s="102"/>
      <c r="X25" s="102"/>
      <c r="Y25" s="102"/>
      <c r="Z25" s="102"/>
      <c r="AA25" s="102"/>
      <c r="AB25" s="293"/>
      <c r="AC25" s="102"/>
      <c r="AD25" s="102"/>
      <c r="AE25" s="102"/>
      <c r="AF25" s="102"/>
      <c r="AG25" s="102"/>
      <c r="AH25" s="293"/>
      <c r="AI25" s="102"/>
      <c r="AJ25" s="102"/>
      <c r="AK25" s="102"/>
      <c r="AL25" s="102"/>
      <c r="AM25" s="102"/>
      <c r="AN25" s="293"/>
      <c r="AO25" s="102"/>
      <c r="AP25" s="102"/>
      <c r="AQ25" s="102"/>
      <c r="AR25" s="102"/>
      <c r="AS25" s="102"/>
      <c r="AT25" s="293"/>
      <c r="AU25" s="102"/>
      <c r="AV25" s="102"/>
      <c r="AW25" s="102"/>
      <c r="AX25" s="102"/>
      <c r="AY25" s="102"/>
      <c r="AZ25" s="102"/>
      <c r="BA25" s="114"/>
    </row>
    <row r="26" spans="1:53" ht="15.6">
      <c r="B26" s="91" t="str">
        <f>L73</f>
        <v>Grant Type #2</v>
      </c>
      <c r="C26" s="115">
        <f ca="1">M74</f>
        <v>0</v>
      </c>
      <c r="D26" s="115">
        <f t="shared" ca="1" si="20"/>
        <v>0</v>
      </c>
      <c r="E26" s="116">
        <f t="shared" ca="1" si="19"/>
        <v>0</v>
      </c>
      <c r="F26" s="117"/>
      <c r="G26" s="406">
        <f t="shared" ca="1" si="14"/>
        <v>0</v>
      </c>
      <c r="H26" s="679">
        <v>0</v>
      </c>
      <c r="I26" s="587">
        <v>0</v>
      </c>
      <c r="J26" s="588">
        <v>0</v>
      </c>
      <c r="K26" s="379" t="s">
        <v>268</v>
      </c>
      <c r="L26" s="235">
        <v>3</v>
      </c>
      <c r="M26" s="380">
        <v>0.5</v>
      </c>
      <c r="N26" s="602">
        <v>520000</v>
      </c>
      <c r="O26" s="381" t="str">
        <f t="shared" ca="1" si="4"/>
        <v/>
      </c>
      <c r="P26" s="477" t="str">
        <f ca="1"/>
        <v/>
      </c>
      <c r="Q26" s="477"/>
      <c r="R26" s="477"/>
      <c r="S26" s="127"/>
      <c r="T26" s="273"/>
      <c r="U26"/>
      <c r="V26" s="254" t="s">
        <v>509</v>
      </c>
      <c r="W26" s="280" t="str">
        <f ca="1">IFERROR(W20+W22-W24,"")</f>
        <v/>
      </c>
      <c r="X26" s="280" t="str">
        <f t="shared" ref="X26:AZ26" ca="1" si="23">IFERROR(X20+X22-X24,"")</f>
        <v/>
      </c>
      <c r="Y26" s="280" t="str">
        <f t="shared" ca="1" si="23"/>
        <v/>
      </c>
      <c r="Z26" s="280" t="str">
        <f t="shared" ca="1" si="23"/>
        <v/>
      </c>
      <c r="AA26" s="280" t="str">
        <f t="shared" ca="1" si="23"/>
        <v/>
      </c>
      <c r="AB26" s="297" t="str">
        <f t="shared" ca="1" si="23"/>
        <v/>
      </c>
      <c r="AC26" s="280" t="str">
        <f t="shared" ca="1" si="23"/>
        <v/>
      </c>
      <c r="AD26" s="280" t="str">
        <f t="shared" ca="1" si="23"/>
        <v/>
      </c>
      <c r="AE26" s="280">
        <f t="shared" ca="1" si="23"/>
        <v>358697.78274057916</v>
      </c>
      <c r="AF26" s="280" t="str">
        <f t="shared" ca="1" si="23"/>
        <v/>
      </c>
      <c r="AG26" s="280" t="str">
        <f t="shared" ca="1" si="23"/>
        <v/>
      </c>
      <c r="AH26" s="297" t="str">
        <f t="shared" ca="1" si="23"/>
        <v/>
      </c>
      <c r="AI26" s="280" t="str">
        <f t="shared" ca="1" si="23"/>
        <v/>
      </c>
      <c r="AJ26" s="280" t="str">
        <f t="shared" ca="1" si="23"/>
        <v/>
      </c>
      <c r="AK26" s="280">
        <f t="shared" ca="1" si="23"/>
        <v>368849.47468133224</v>
      </c>
      <c r="AL26" s="280" t="str">
        <f t="shared" ca="1" si="23"/>
        <v/>
      </c>
      <c r="AM26" s="280" t="str">
        <f t="shared" ca="1" si="23"/>
        <v/>
      </c>
      <c r="AN26" s="297" t="str">
        <f t="shared" ca="1" si="23"/>
        <v/>
      </c>
      <c r="AO26" s="280" t="str">
        <f t="shared" ca="1" si="23"/>
        <v/>
      </c>
      <c r="AP26" s="280" t="str">
        <f t="shared" ca="1" si="23"/>
        <v/>
      </c>
      <c r="AQ26" s="280">
        <f t="shared" ca="1" si="23"/>
        <v>380851.47500537534</v>
      </c>
      <c r="AR26" s="280" t="str">
        <f t="shared" ca="1" si="23"/>
        <v/>
      </c>
      <c r="AS26" s="280" t="str">
        <f t="shared" ca="1" si="23"/>
        <v/>
      </c>
      <c r="AT26" s="297" t="str">
        <f t="shared" ca="1" si="23"/>
        <v/>
      </c>
      <c r="AU26" s="280" t="str">
        <f t="shared" ca="1" si="23"/>
        <v/>
      </c>
      <c r="AV26" s="280" t="str">
        <f t="shared" ca="1" si="23"/>
        <v/>
      </c>
      <c r="AW26" s="280" t="str">
        <f t="shared" ca="1" si="23"/>
        <v/>
      </c>
      <c r="AX26" s="280" t="str">
        <f t="shared" ca="1" si="23"/>
        <v/>
      </c>
      <c r="AY26" s="280" t="str">
        <f t="shared" ca="1" si="23"/>
        <v/>
      </c>
      <c r="AZ26" s="280" t="str">
        <f t="shared" ca="1" si="23"/>
        <v/>
      </c>
      <c r="BA26" s="114"/>
    </row>
    <row r="27" spans="1:53" ht="16.149999999999999" thickBot="1">
      <c r="B27" s="92" t="str">
        <f>L77</f>
        <v>Grant Type #3</v>
      </c>
      <c r="C27" s="123">
        <f ca="1">M78</f>
        <v>0</v>
      </c>
      <c r="D27" s="123">
        <f t="shared" ca="1" si="20"/>
        <v>0</v>
      </c>
      <c r="E27" s="124">
        <f t="shared" ca="1" si="19"/>
        <v>0</v>
      </c>
      <c r="F27" s="117"/>
      <c r="G27" s="373">
        <f t="shared" ca="1" si="14"/>
        <v>0</v>
      </c>
      <c r="H27" s="680">
        <v>0</v>
      </c>
      <c r="I27" s="590">
        <v>2</v>
      </c>
      <c r="J27" s="592">
        <v>0</v>
      </c>
      <c r="K27" s="125" t="s">
        <v>269</v>
      </c>
      <c r="L27" s="55">
        <v>3</v>
      </c>
      <c r="M27" s="126">
        <v>0.6</v>
      </c>
      <c r="N27" s="132">
        <f>N26</f>
        <v>520000</v>
      </c>
      <c r="O27" s="367" t="str">
        <f t="shared" ca="1" si="4"/>
        <v/>
      </c>
      <c r="P27" s="477" t="str">
        <f ca="1"/>
        <v/>
      </c>
      <c r="Q27" s="477"/>
      <c r="R27" s="477"/>
      <c r="S27" s="127"/>
      <c r="T27" s="273"/>
      <c r="U27"/>
      <c r="V27" s="254" t="s">
        <v>510</v>
      </c>
      <c r="W27" s="275" t="str">
        <f ca="1">IFERROR(W5-W26,"")</f>
        <v/>
      </c>
      <c r="X27" s="275" t="str">
        <f t="shared" ref="X27:AZ27" ca="1" si="24">IFERROR(X5-X26,"")</f>
        <v/>
      </c>
      <c r="Y27" s="275" t="str">
        <f t="shared" ca="1" si="24"/>
        <v/>
      </c>
      <c r="Z27" s="275" t="str">
        <f t="shared" ca="1" si="24"/>
        <v/>
      </c>
      <c r="AA27" s="275" t="str">
        <f t="shared" ca="1" si="24"/>
        <v/>
      </c>
      <c r="AB27" s="295" t="str">
        <f t="shared" ca="1" si="24"/>
        <v/>
      </c>
      <c r="AC27" s="275" t="str">
        <f t="shared" ca="1" si="24"/>
        <v/>
      </c>
      <c r="AD27" s="275" t="str">
        <f t="shared" ca="1" si="24"/>
        <v/>
      </c>
      <c r="AE27" s="275">
        <f t="shared" ca="1" si="24"/>
        <v>698522.21805108758</v>
      </c>
      <c r="AF27" s="275" t="str">
        <f t="shared" ca="1" si="24"/>
        <v/>
      </c>
      <c r="AG27" s="275" t="str">
        <f t="shared" ca="1" si="24"/>
        <v/>
      </c>
      <c r="AH27" s="295" t="str">
        <f t="shared" ca="1" si="24"/>
        <v/>
      </c>
      <c r="AI27" s="275" t="str">
        <f t="shared" ca="1" si="24"/>
        <v/>
      </c>
      <c r="AJ27" s="275" t="str">
        <f t="shared" ca="1" si="24"/>
        <v/>
      </c>
      <c r="AK27" s="275">
        <f t="shared" ca="1" si="24"/>
        <v>688370.52611033455</v>
      </c>
      <c r="AL27" s="275" t="str">
        <f t="shared" ca="1" si="24"/>
        <v/>
      </c>
      <c r="AM27" s="275" t="str">
        <f t="shared" ca="1" si="24"/>
        <v/>
      </c>
      <c r="AN27" s="295" t="str">
        <f t="shared" ca="1" si="24"/>
        <v/>
      </c>
      <c r="AO27" s="275" t="str">
        <f t="shared" ca="1" si="24"/>
        <v/>
      </c>
      <c r="AP27" s="275" t="str">
        <f t="shared" ca="1" si="24"/>
        <v/>
      </c>
      <c r="AQ27" s="275">
        <f t="shared" ca="1" si="24"/>
        <v>676368.52578629146</v>
      </c>
      <c r="AR27" s="275" t="str">
        <f t="shared" ca="1" si="24"/>
        <v/>
      </c>
      <c r="AS27" s="275" t="str">
        <f t="shared" ca="1" si="24"/>
        <v/>
      </c>
      <c r="AT27" s="295" t="str">
        <f t="shared" ca="1" si="24"/>
        <v/>
      </c>
      <c r="AU27" s="275" t="str">
        <f t="shared" ca="1" si="24"/>
        <v/>
      </c>
      <c r="AV27" s="275" t="str">
        <f t="shared" ca="1" si="24"/>
        <v/>
      </c>
      <c r="AW27" s="275" t="str">
        <f t="shared" ca="1" si="24"/>
        <v/>
      </c>
      <c r="AX27" s="275" t="str">
        <f t="shared" ca="1" si="24"/>
        <v/>
      </c>
      <c r="AY27" s="275" t="str">
        <f t="shared" ca="1" si="24"/>
        <v/>
      </c>
      <c r="AZ27" s="275" t="str">
        <f t="shared" ca="1" si="24"/>
        <v/>
      </c>
      <c r="BA27" s="114"/>
    </row>
    <row r="28" spans="1:53" ht="16.149999999999999" thickTop="1">
      <c r="B28" s="93" t="s">
        <v>278</v>
      </c>
      <c r="C28" s="130">
        <f ca="1">SUM(C21:C27)</f>
        <v>12926230.007125001</v>
      </c>
      <c r="D28" s="130">
        <f ca="1">SUM(D21:D27)</f>
        <v>1077185.8339270835</v>
      </c>
      <c r="E28" s="131">
        <f ca="1">SUM(E21:E27)</f>
        <v>0.99999999999999989</v>
      </c>
      <c r="F28" s="136"/>
      <c r="G28" s="373">
        <f t="shared" ca="1" si="14"/>
        <v>4</v>
      </c>
      <c r="H28" s="680">
        <v>4</v>
      </c>
      <c r="I28" s="590">
        <v>2</v>
      </c>
      <c r="J28" s="592">
        <v>0</v>
      </c>
      <c r="K28" s="125" t="s">
        <v>273</v>
      </c>
      <c r="L28" s="55">
        <v>3</v>
      </c>
      <c r="M28" s="126">
        <v>0.8</v>
      </c>
      <c r="N28" s="132">
        <f>N26</f>
        <v>520000</v>
      </c>
      <c r="O28" s="367">
        <f t="shared" ca="1" si="4"/>
        <v>380851.47500537534</v>
      </c>
      <c r="P28" s="477">
        <f ca="1"/>
        <v>75000</v>
      </c>
      <c r="Q28" s="477"/>
      <c r="R28" s="477"/>
      <c r="S28" s="127"/>
      <c r="T28" s="283"/>
      <c r="U28" s="246"/>
      <c r="V28" s="265"/>
      <c r="W28" s="170"/>
      <c r="X28" s="170"/>
      <c r="Y28" s="170"/>
      <c r="Z28" s="170"/>
      <c r="AA28" s="170"/>
      <c r="AB28" s="298"/>
      <c r="AC28" s="170"/>
      <c r="AD28" s="170"/>
      <c r="AE28" s="170"/>
      <c r="AF28" s="170"/>
      <c r="AG28" s="170"/>
      <c r="AH28" s="298"/>
      <c r="AI28" s="170"/>
      <c r="AJ28" s="170"/>
      <c r="AK28" s="170"/>
      <c r="AL28" s="170"/>
      <c r="AM28" s="170"/>
      <c r="AN28" s="298"/>
      <c r="AO28" s="170"/>
      <c r="AP28" s="170"/>
      <c r="AQ28" s="170"/>
      <c r="AR28" s="170"/>
      <c r="AS28" s="170"/>
      <c r="AT28" s="298"/>
      <c r="AU28" s="170"/>
      <c r="AV28" s="170"/>
      <c r="AW28" s="170"/>
      <c r="AX28" s="170"/>
      <c r="AY28" s="170"/>
      <c r="AZ28" s="170"/>
      <c r="BA28" s="171"/>
    </row>
    <row r="29" spans="1:53" ht="14.45">
      <c r="B29" s="94"/>
      <c r="C29" s="135"/>
      <c r="D29" s="135"/>
      <c r="E29" s="116"/>
      <c r="F29" s="117"/>
      <c r="G29" s="373">
        <f t="shared" ca="1" si="14"/>
        <v>0</v>
      </c>
      <c r="H29" s="680">
        <v>0</v>
      </c>
      <c r="I29" s="590">
        <v>0</v>
      </c>
      <c r="J29" s="592">
        <v>0</v>
      </c>
      <c r="K29" s="125" t="s">
        <v>276</v>
      </c>
      <c r="L29" s="55">
        <v>3</v>
      </c>
      <c r="M29" s="126">
        <v>1</v>
      </c>
      <c r="N29" s="132">
        <f>N27</f>
        <v>520000</v>
      </c>
      <c r="O29" s="367" t="str">
        <f t="shared" ca="1" si="4"/>
        <v/>
      </c>
      <c r="P29" s="477" t="str">
        <f ca="1"/>
        <v/>
      </c>
      <c r="Q29" s="477"/>
      <c r="R29" s="477"/>
      <c r="S29" s="127"/>
      <c r="T29" s="77"/>
      <c r="U29"/>
      <c r="V29" s="270"/>
    </row>
    <row r="30" spans="1:53" ht="15" thickBot="1">
      <c r="B30" s="95" t="s">
        <v>286</v>
      </c>
      <c r="C30" s="139">
        <f ca="1">C28-C18</f>
        <v>224589.99762500077</v>
      </c>
      <c r="D30" s="139">
        <f ca="1">D28-D18</f>
        <v>18715.833135416731</v>
      </c>
      <c r="E30" s="140"/>
      <c r="F30" s="117"/>
      <c r="G30" s="373">
        <f t="shared" ca="1" si="14"/>
        <v>0</v>
      </c>
      <c r="H30" s="680">
        <v>0</v>
      </c>
      <c r="I30" s="590">
        <v>0</v>
      </c>
      <c r="J30" s="592">
        <v>0</v>
      </c>
      <c r="K30" s="125" t="s">
        <v>279</v>
      </c>
      <c r="L30" s="55">
        <v>3</v>
      </c>
      <c r="M30" s="126">
        <v>1.2</v>
      </c>
      <c r="N30" s="132">
        <f>N28</f>
        <v>520000</v>
      </c>
      <c r="O30" s="367" t="str">
        <f t="shared" ca="1" si="4"/>
        <v/>
      </c>
      <c r="P30" s="477" t="str">
        <f ca="1"/>
        <v/>
      </c>
      <c r="Q30" s="477"/>
      <c r="R30" s="477"/>
      <c r="S30" s="127"/>
      <c r="T30" s="77"/>
      <c r="U30"/>
      <c r="V30" s="270"/>
    </row>
    <row r="31" spans="1:53" ht="15" thickTop="1">
      <c r="B31" s="94"/>
      <c r="C31" s="141"/>
      <c r="D31" s="141"/>
      <c r="E31" s="142"/>
      <c r="F31" s="117"/>
      <c r="G31" s="374">
        <f t="shared" ca="1" si="14"/>
        <v>0</v>
      </c>
      <c r="H31" s="681">
        <v>0</v>
      </c>
      <c r="I31" s="597">
        <v>0</v>
      </c>
      <c r="J31" s="598">
        <v>0</v>
      </c>
      <c r="K31" s="407" t="s">
        <v>283</v>
      </c>
      <c r="L31" s="327">
        <v>3</v>
      </c>
      <c r="M31" s="327" t="s">
        <v>218</v>
      </c>
      <c r="N31" s="408">
        <f>N27</f>
        <v>520000</v>
      </c>
      <c r="O31" s="409" t="str">
        <f t="shared" ca="1" si="4"/>
        <v/>
      </c>
      <c r="P31" s="477" t="str">
        <f ca="1"/>
        <v/>
      </c>
      <c r="Q31" s="477"/>
      <c r="R31" s="477"/>
      <c r="S31" s="150"/>
      <c r="U31" s="55"/>
      <c r="V31" s="51"/>
      <c r="Z31" s="314"/>
      <c r="AA31" s="149"/>
      <c r="AB31" s="149"/>
      <c r="AC31" s="149"/>
      <c r="AD31" s="149"/>
      <c r="AE31" s="149"/>
      <c r="AF31" s="149"/>
      <c r="AG31" s="149"/>
      <c r="AH31" s="149"/>
      <c r="AI31" s="149"/>
      <c r="AJ31" s="149"/>
      <c r="AK31" s="149"/>
      <c r="AL31" s="149"/>
      <c r="AM31" s="149"/>
      <c r="AN31" s="149"/>
      <c r="AO31" s="149"/>
    </row>
    <row r="32" spans="1:53">
      <c r="B32" s="94"/>
      <c r="C32" s="135"/>
      <c r="D32" s="135"/>
      <c r="E32" s="116"/>
      <c r="F32" s="117"/>
      <c r="G32" s="406">
        <f t="shared" ca="1" si="14"/>
        <v>0</v>
      </c>
      <c r="H32" s="679">
        <v>0</v>
      </c>
      <c r="I32" s="587">
        <v>0</v>
      </c>
      <c r="J32" s="588">
        <v>0</v>
      </c>
      <c r="K32" s="379" t="s">
        <v>287</v>
      </c>
      <c r="L32" s="235">
        <v>4</v>
      </c>
      <c r="M32" s="380">
        <v>0.5</v>
      </c>
      <c r="N32" s="602">
        <v>650000</v>
      </c>
      <c r="O32" s="381" t="str">
        <f t="shared" ca="1" si="4"/>
        <v/>
      </c>
      <c r="P32" s="477" t="str">
        <f ca="1"/>
        <v/>
      </c>
      <c r="Q32" s="477"/>
      <c r="R32" s="477"/>
      <c r="U32" s="205"/>
      <c r="V32" s="51"/>
      <c r="Z32" s="111"/>
      <c r="AA32" s="134"/>
      <c r="AB32" s="134"/>
      <c r="AC32" s="134"/>
      <c r="AD32" s="134"/>
      <c r="AE32" s="134"/>
      <c r="AF32" s="134"/>
      <c r="AG32" s="134"/>
      <c r="AH32" s="134"/>
      <c r="AI32" s="134"/>
      <c r="AJ32" s="134"/>
      <c r="AK32" s="134"/>
      <c r="AL32" s="134"/>
      <c r="AM32" s="134"/>
      <c r="AN32" s="134"/>
      <c r="AO32" s="134"/>
    </row>
    <row r="33" spans="1:55" ht="17.45">
      <c r="B33" s="458" t="s">
        <v>511</v>
      </c>
      <c r="C33" s="459" t="s">
        <v>250</v>
      </c>
      <c r="D33" s="459" t="s">
        <v>223</v>
      </c>
      <c r="E33" s="460" t="s">
        <v>224</v>
      </c>
      <c r="F33" s="117"/>
      <c r="G33" s="373">
        <f t="shared" ca="1" si="14"/>
        <v>0</v>
      </c>
      <c r="H33" s="680">
        <v>0</v>
      </c>
      <c r="I33" s="590">
        <v>0</v>
      </c>
      <c r="J33" s="592">
        <v>0</v>
      </c>
      <c r="K33" s="125" t="s">
        <v>290</v>
      </c>
      <c r="L33" s="55">
        <v>4</v>
      </c>
      <c r="M33" s="126">
        <v>0.6</v>
      </c>
      <c r="N33" s="132">
        <f>N32</f>
        <v>650000</v>
      </c>
      <c r="O33" s="367" t="str">
        <f t="shared" ca="1" si="4"/>
        <v/>
      </c>
      <c r="P33" s="477" t="str">
        <f ca="1"/>
        <v/>
      </c>
      <c r="Q33" s="477"/>
      <c r="R33" s="477"/>
      <c r="T33" s="451" t="s">
        <v>512</v>
      </c>
      <c r="U33" s="452"/>
      <c r="V33" s="452"/>
      <c r="W33" s="452"/>
      <c r="X33" s="452"/>
      <c r="Y33" s="452"/>
      <c r="Z33" s="452"/>
      <c r="AA33" s="452"/>
      <c r="AB33" s="453"/>
      <c r="AC33" s="452"/>
      <c r="AD33" s="452"/>
      <c r="AE33" s="452"/>
      <c r="AF33" s="452"/>
      <c r="AG33" s="452"/>
      <c r="AH33" s="453"/>
      <c r="AI33" s="452"/>
      <c r="AJ33" s="452"/>
      <c r="AK33" s="452"/>
      <c r="AL33" s="452"/>
      <c r="AM33" s="452"/>
      <c r="AN33" s="453"/>
      <c r="AO33" s="452"/>
      <c r="AP33" s="452"/>
      <c r="AQ33" s="452"/>
      <c r="AR33" s="452"/>
      <c r="AS33" s="452"/>
      <c r="AT33" s="453"/>
      <c r="AU33" s="452"/>
      <c r="AV33" s="452"/>
      <c r="AW33" s="452"/>
      <c r="AX33" s="452"/>
      <c r="AY33" s="452"/>
      <c r="AZ33" s="452"/>
      <c r="BA33" s="454"/>
    </row>
    <row r="34" spans="1:55" s="86" customFormat="1" ht="17.45">
      <c r="A34" s="51"/>
      <c r="B34" s="96" t="s">
        <v>454</v>
      </c>
      <c r="C34" s="115">
        <f ca="1">C21</f>
        <v>9526230.0071250014</v>
      </c>
      <c r="D34" s="145">
        <f ca="1">IF($G$38&gt;0,C34/$G$38,0)</f>
        <v>793852.50059375016</v>
      </c>
      <c r="E34" s="146">
        <f ca="1">C34/$C$36</f>
        <v>0.97442777023271776</v>
      </c>
      <c r="F34" s="117"/>
      <c r="G34" s="373">
        <f t="shared" ca="1" si="14"/>
        <v>0</v>
      </c>
      <c r="H34" s="680">
        <v>0</v>
      </c>
      <c r="I34" s="590">
        <v>0</v>
      </c>
      <c r="J34" s="592">
        <v>0</v>
      </c>
      <c r="K34" s="125" t="s">
        <v>292</v>
      </c>
      <c r="L34" s="55">
        <v>4</v>
      </c>
      <c r="M34" s="126">
        <v>0.8</v>
      </c>
      <c r="N34" s="132">
        <f>N32</f>
        <v>650000</v>
      </c>
      <c r="O34" s="367" t="str">
        <f t="shared" ca="1" si="4"/>
        <v/>
      </c>
      <c r="P34" s="477" t="str">
        <f ca="1"/>
        <v/>
      </c>
      <c r="Q34" s="477"/>
      <c r="R34" s="477"/>
      <c r="T34" s="317"/>
      <c r="U34" s="318"/>
      <c r="V34" s="81"/>
      <c r="W34" s="266" t="str">
        <f t="shared" ref="W34:AZ34" si="25">W4</f>
        <v>0bd-50</v>
      </c>
      <c r="X34" s="266" t="str">
        <f t="shared" si="25"/>
        <v>0bd-60</v>
      </c>
      <c r="Y34" s="266" t="str">
        <f t="shared" si="25"/>
        <v>0bd-80</v>
      </c>
      <c r="Z34" s="266" t="str">
        <f t="shared" si="25"/>
        <v>0bd-100</v>
      </c>
      <c r="AA34" s="266" t="str">
        <f t="shared" si="25"/>
        <v>0bd-120</v>
      </c>
      <c r="AB34" s="291" t="str">
        <f t="shared" si="25"/>
        <v>0bd-mrkt</v>
      </c>
      <c r="AC34" s="266" t="str">
        <f t="shared" si="25"/>
        <v>1bd-50</v>
      </c>
      <c r="AD34" s="266" t="str">
        <f t="shared" si="25"/>
        <v>1bd-60</v>
      </c>
      <c r="AE34" s="266" t="str">
        <f t="shared" si="25"/>
        <v>1bd-80</v>
      </c>
      <c r="AF34" s="266" t="str">
        <f t="shared" si="25"/>
        <v>1bd-100</v>
      </c>
      <c r="AG34" s="266" t="str">
        <f t="shared" si="25"/>
        <v>1bd-120</v>
      </c>
      <c r="AH34" s="291" t="str">
        <f t="shared" si="25"/>
        <v>1bd-mrkt</v>
      </c>
      <c r="AI34" s="266" t="str">
        <f t="shared" si="25"/>
        <v>2bd-50</v>
      </c>
      <c r="AJ34" s="266" t="str">
        <f t="shared" si="25"/>
        <v>2bd-60</v>
      </c>
      <c r="AK34" s="266" t="str">
        <f t="shared" si="25"/>
        <v>2bd-80</v>
      </c>
      <c r="AL34" s="266" t="str">
        <f t="shared" si="25"/>
        <v>2bd-100</v>
      </c>
      <c r="AM34" s="266" t="str">
        <f t="shared" si="25"/>
        <v>2bd-120</v>
      </c>
      <c r="AN34" s="291" t="str">
        <f t="shared" si="25"/>
        <v>2bd-mrkt</v>
      </c>
      <c r="AO34" s="266" t="str">
        <f t="shared" si="25"/>
        <v>3bd-50</v>
      </c>
      <c r="AP34" s="266" t="str">
        <f t="shared" si="25"/>
        <v>3bd-60</v>
      </c>
      <c r="AQ34" s="266" t="str">
        <f t="shared" si="25"/>
        <v>3bd-80</v>
      </c>
      <c r="AR34" s="266" t="str">
        <f t="shared" si="25"/>
        <v>3bd-100</v>
      </c>
      <c r="AS34" s="266" t="str">
        <f t="shared" si="25"/>
        <v>3bd-120</v>
      </c>
      <c r="AT34" s="291" t="str">
        <f t="shared" si="25"/>
        <v>3bd-mrkt</v>
      </c>
      <c r="AU34" s="266" t="str">
        <f t="shared" si="25"/>
        <v>4bd-50</v>
      </c>
      <c r="AV34" s="266" t="str">
        <f t="shared" si="25"/>
        <v>4bd-60</v>
      </c>
      <c r="AW34" s="266" t="str">
        <f t="shared" si="25"/>
        <v>4bd-80</v>
      </c>
      <c r="AX34" s="266" t="str">
        <f t="shared" si="25"/>
        <v>4bd-100</v>
      </c>
      <c r="AY34" s="266" t="str">
        <f t="shared" si="25"/>
        <v>4bd-120</v>
      </c>
      <c r="AZ34" s="266" t="str">
        <f t="shared" si="25"/>
        <v>4bd-mrkt</v>
      </c>
      <c r="BA34" s="114"/>
      <c r="BB34" s="51"/>
      <c r="BC34" s="51"/>
    </row>
    <row r="35" spans="1:55" ht="15" thickBot="1">
      <c r="B35" s="92" t="s">
        <v>513</v>
      </c>
      <c r="C35" s="123">
        <f ca="1">IF(M54&lt;=M47,M52,0)</f>
        <v>250000</v>
      </c>
      <c r="D35" s="123">
        <f ca="1">IF($G$38&gt;0,C35/$G$38,0)</f>
        <v>20833.333333333332</v>
      </c>
      <c r="E35" s="124">
        <f ca="1">C35/$C$36</f>
        <v>2.5572229767282257E-2</v>
      </c>
      <c r="F35" s="147"/>
      <c r="G35" s="373">
        <f t="shared" ca="1" si="14"/>
        <v>0</v>
      </c>
      <c r="H35" s="680">
        <v>0</v>
      </c>
      <c r="I35" s="590">
        <v>0</v>
      </c>
      <c r="J35" s="592">
        <v>0</v>
      </c>
      <c r="K35" s="125" t="s">
        <v>296</v>
      </c>
      <c r="L35" s="55">
        <v>4</v>
      </c>
      <c r="M35" s="126">
        <v>1</v>
      </c>
      <c r="N35" s="132">
        <f>N33</f>
        <v>650000</v>
      </c>
      <c r="O35" s="367" t="str">
        <f t="shared" ca="1" si="4"/>
        <v/>
      </c>
      <c r="P35" s="477" t="str">
        <f ca="1"/>
        <v/>
      </c>
      <c r="Q35" s="477"/>
      <c r="R35" s="477"/>
      <c r="S35" s="81"/>
      <c r="T35" s="273"/>
      <c r="U35"/>
      <c r="V35" s="270" t="s">
        <v>480</v>
      </c>
      <c r="W35" s="319">
        <f>_xlfn.XLOOKUP(W34,$K$8:$K$37,$M$8:$M$37)</f>
        <v>0.5</v>
      </c>
      <c r="X35" s="319">
        <f t="shared" ref="X35:AZ35" si="26">_xlfn.XLOOKUP(X34,$K$8:$K$37,$M$8:$M$37)</f>
        <v>0.6</v>
      </c>
      <c r="Y35" s="319">
        <f t="shared" si="26"/>
        <v>0.8</v>
      </c>
      <c r="Z35" s="319">
        <f t="shared" si="26"/>
        <v>1</v>
      </c>
      <c r="AA35" s="319">
        <f t="shared" si="26"/>
        <v>1.2</v>
      </c>
      <c r="AB35" s="423" t="str">
        <f t="shared" si="26"/>
        <v>Market Rate</v>
      </c>
      <c r="AC35" s="319">
        <f t="shared" si="26"/>
        <v>0.5</v>
      </c>
      <c r="AD35" s="319">
        <f t="shared" si="26"/>
        <v>0.6</v>
      </c>
      <c r="AE35" s="319">
        <f t="shared" si="26"/>
        <v>0.8</v>
      </c>
      <c r="AF35" s="319">
        <f t="shared" si="26"/>
        <v>1</v>
      </c>
      <c r="AG35" s="319">
        <f t="shared" si="26"/>
        <v>1.2</v>
      </c>
      <c r="AH35" s="423" t="str">
        <f t="shared" si="26"/>
        <v>Market Rate</v>
      </c>
      <c r="AI35" s="319">
        <f t="shared" si="26"/>
        <v>0.5</v>
      </c>
      <c r="AJ35" s="319">
        <f t="shared" si="26"/>
        <v>0.6</v>
      </c>
      <c r="AK35" s="319">
        <f t="shared" si="26"/>
        <v>0.8</v>
      </c>
      <c r="AL35" s="319">
        <f t="shared" si="26"/>
        <v>1</v>
      </c>
      <c r="AM35" s="319">
        <f t="shared" si="26"/>
        <v>1.2</v>
      </c>
      <c r="AN35" s="423" t="str">
        <f t="shared" si="26"/>
        <v>Market Rate</v>
      </c>
      <c r="AO35" s="319">
        <f t="shared" si="26"/>
        <v>0.5</v>
      </c>
      <c r="AP35" s="319">
        <f t="shared" si="26"/>
        <v>0.6</v>
      </c>
      <c r="AQ35" s="319">
        <f t="shared" si="26"/>
        <v>0.8</v>
      </c>
      <c r="AR35" s="319">
        <f t="shared" si="26"/>
        <v>1</v>
      </c>
      <c r="AS35" s="319">
        <f t="shared" si="26"/>
        <v>1.2</v>
      </c>
      <c r="AT35" s="423" t="str">
        <f t="shared" si="26"/>
        <v>Market Rate</v>
      </c>
      <c r="AU35" s="319">
        <f t="shared" si="26"/>
        <v>0.5</v>
      </c>
      <c r="AV35" s="319">
        <f t="shared" si="26"/>
        <v>0.6</v>
      </c>
      <c r="AW35" s="319">
        <f t="shared" si="26"/>
        <v>0.8</v>
      </c>
      <c r="AX35" s="319">
        <f t="shared" si="26"/>
        <v>1</v>
      </c>
      <c r="AY35" s="319">
        <f t="shared" si="26"/>
        <v>1.2</v>
      </c>
      <c r="AZ35" s="319" t="str">
        <f t="shared" si="26"/>
        <v>Market Rate</v>
      </c>
      <c r="BA35" s="114"/>
    </row>
    <row r="36" spans="1:55" ht="16.149999999999999" thickTop="1">
      <c r="A36" s="86"/>
      <c r="B36" s="93" t="s">
        <v>514</v>
      </c>
      <c r="C36" s="115">
        <f ca="1">SUM(C34:C35)</f>
        <v>9776230.0071250014</v>
      </c>
      <c r="D36" s="115">
        <f ca="1">SUM(D34:D35)</f>
        <v>814685.83392708353</v>
      </c>
      <c r="E36" s="116">
        <f ca="1">SUM(E34:E35)</f>
        <v>1</v>
      </c>
      <c r="F36" s="116"/>
      <c r="G36" s="373">
        <f t="shared" ca="1" si="14"/>
        <v>0</v>
      </c>
      <c r="H36" s="680">
        <v>0</v>
      </c>
      <c r="I36" s="590">
        <v>0</v>
      </c>
      <c r="J36" s="592">
        <v>0</v>
      </c>
      <c r="K36" s="125" t="s">
        <v>299</v>
      </c>
      <c r="L36" s="55">
        <v>4</v>
      </c>
      <c r="M36" s="126">
        <v>1.2</v>
      </c>
      <c r="N36" s="132">
        <f>N34</f>
        <v>650000</v>
      </c>
      <c r="O36" s="367" t="str">
        <f t="shared" ca="1" si="4"/>
        <v/>
      </c>
      <c r="P36" s="477" t="str">
        <f ca="1"/>
        <v/>
      </c>
      <c r="Q36" s="477"/>
      <c r="R36" s="477"/>
      <c r="S36" s="46"/>
      <c r="T36" s="273"/>
      <c r="U36"/>
      <c r="V36" s="270" t="s">
        <v>515</v>
      </c>
      <c r="W36" s="320" t="str">
        <f ca="1">_xlfn.XLOOKUP(W34,$K$8:$K$37,$O$8:$O$37)</f>
        <v/>
      </c>
      <c r="X36" s="320" t="str">
        <f t="shared" ref="X36:AZ36" ca="1" si="27">_xlfn.XLOOKUP(X34,$K$8:$K$37,$O$8:$O$37)</f>
        <v/>
      </c>
      <c r="Y36" s="320" t="str">
        <f t="shared" ca="1" si="27"/>
        <v/>
      </c>
      <c r="Z36" s="320" t="str">
        <f t="shared" ca="1" si="27"/>
        <v/>
      </c>
      <c r="AA36" s="320" t="str">
        <f t="shared" ca="1" si="27"/>
        <v/>
      </c>
      <c r="AB36" s="424" t="str">
        <f t="shared" ca="1" si="27"/>
        <v/>
      </c>
      <c r="AC36" s="320" t="str">
        <f t="shared" ca="1" si="27"/>
        <v/>
      </c>
      <c r="AD36" s="320" t="str">
        <f t="shared" ca="1" si="27"/>
        <v/>
      </c>
      <c r="AE36" s="320">
        <f t="shared" ca="1" si="27"/>
        <v>358697.78274057916</v>
      </c>
      <c r="AF36" s="320" t="str">
        <f t="shared" ca="1" si="27"/>
        <v/>
      </c>
      <c r="AG36" s="320" t="str">
        <f t="shared" ca="1" si="27"/>
        <v/>
      </c>
      <c r="AH36" s="424" t="str">
        <f t="shared" ca="1" si="27"/>
        <v/>
      </c>
      <c r="AI36" s="320" t="str">
        <f t="shared" ca="1" si="27"/>
        <v/>
      </c>
      <c r="AJ36" s="320" t="str">
        <f t="shared" ca="1" si="27"/>
        <v/>
      </c>
      <c r="AK36" s="320">
        <f t="shared" ca="1" si="27"/>
        <v>368849.47468133224</v>
      </c>
      <c r="AL36" s="320" t="str">
        <f t="shared" ca="1" si="27"/>
        <v/>
      </c>
      <c r="AM36" s="320" t="str">
        <f t="shared" ca="1" si="27"/>
        <v/>
      </c>
      <c r="AN36" s="424" t="str">
        <f t="shared" ca="1" si="27"/>
        <v/>
      </c>
      <c r="AO36" s="320" t="str">
        <f t="shared" ca="1" si="27"/>
        <v/>
      </c>
      <c r="AP36" s="320" t="str">
        <f t="shared" ca="1" si="27"/>
        <v/>
      </c>
      <c r="AQ36" s="320">
        <f t="shared" ca="1" si="27"/>
        <v>380851.47500537534</v>
      </c>
      <c r="AR36" s="320" t="str">
        <f t="shared" ca="1" si="27"/>
        <v/>
      </c>
      <c r="AS36" s="320" t="str">
        <f t="shared" ca="1" si="27"/>
        <v/>
      </c>
      <c r="AT36" s="424" t="str">
        <f t="shared" ca="1" si="27"/>
        <v/>
      </c>
      <c r="AU36" s="320" t="str">
        <f t="shared" ca="1" si="27"/>
        <v/>
      </c>
      <c r="AV36" s="320" t="str">
        <f t="shared" ca="1" si="27"/>
        <v/>
      </c>
      <c r="AW36" s="320" t="str">
        <f t="shared" ca="1" si="27"/>
        <v/>
      </c>
      <c r="AX36" s="320" t="str">
        <f t="shared" ca="1" si="27"/>
        <v/>
      </c>
      <c r="AY36" s="320" t="str">
        <f t="shared" ca="1" si="27"/>
        <v/>
      </c>
      <c r="AZ36" s="320" t="str">
        <f t="shared" ca="1" si="27"/>
        <v/>
      </c>
      <c r="BA36" s="114"/>
    </row>
    <row r="37" spans="1:55" ht="19.899999999999999" customHeight="1">
      <c r="B37" s="91"/>
      <c r="C37" s="115"/>
      <c r="D37" s="115"/>
      <c r="E37" s="116"/>
      <c r="F37" s="116"/>
      <c r="G37" s="374">
        <f t="shared" ca="1" si="14"/>
        <v>0</v>
      </c>
      <c r="H37" s="681">
        <v>0</v>
      </c>
      <c r="I37" s="597">
        <v>0</v>
      </c>
      <c r="J37" s="598">
        <v>0</v>
      </c>
      <c r="K37" s="407" t="s">
        <v>302</v>
      </c>
      <c r="L37" s="327">
        <v>4</v>
      </c>
      <c r="M37" s="327" t="s">
        <v>218</v>
      </c>
      <c r="N37" s="408">
        <f>N33</f>
        <v>650000</v>
      </c>
      <c r="O37" s="409" t="str">
        <f t="shared" ca="1" si="4"/>
        <v/>
      </c>
      <c r="P37" s="477" t="str">
        <f ca="1"/>
        <v/>
      </c>
      <c r="Q37" s="477"/>
      <c r="R37" s="477"/>
      <c r="S37" s="87"/>
      <c r="T37" s="273"/>
      <c r="U37"/>
      <c r="V37" s="270" t="s">
        <v>516</v>
      </c>
      <c r="W37" s="315" t="str">
        <f t="shared" ref="W37:AZ37" ca="1" si="28">W20</f>
        <v/>
      </c>
      <c r="X37" s="315" t="str">
        <f t="shared" ca="1" si="28"/>
        <v/>
      </c>
      <c r="Y37" s="315" t="str">
        <f t="shared" ca="1" si="28"/>
        <v/>
      </c>
      <c r="Z37" s="315" t="str">
        <f t="shared" ca="1" si="28"/>
        <v/>
      </c>
      <c r="AA37" s="315" t="str">
        <f t="shared" ca="1" si="28"/>
        <v/>
      </c>
      <c r="AB37" s="425" t="str">
        <f t="shared" ca="1" si="28"/>
        <v/>
      </c>
      <c r="AC37" s="315" t="str">
        <f t="shared" ca="1" si="28"/>
        <v/>
      </c>
      <c r="AD37" s="315" t="str">
        <f t="shared" ca="1" si="28"/>
        <v/>
      </c>
      <c r="AE37" s="315">
        <f t="shared" ca="1" si="28"/>
        <v>286697.78274057916</v>
      </c>
      <c r="AF37" s="315" t="str">
        <f t="shared" ca="1" si="28"/>
        <v/>
      </c>
      <c r="AG37" s="315" t="str">
        <f t="shared" ca="1" si="28"/>
        <v/>
      </c>
      <c r="AH37" s="425" t="str">
        <f t="shared" ca="1" si="28"/>
        <v/>
      </c>
      <c r="AI37" s="315" t="str">
        <f t="shared" ca="1" si="28"/>
        <v/>
      </c>
      <c r="AJ37" s="315" t="str">
        <f t="shared" ca="1" si="28"/>
        <v/>
      </c>
      <c r="AK37" s="315">
        <f t="shared" ca="1" si="28"/>
        <v>296849.47468133224</v>
      </c>
      <c r="AL37" s="315" t="str">
        <f t="shared" ca="1" si="28"/>
        <v/>
      </c>
      <c r="AM37" s="315" t="str">
        <f t="shared" ca="1" si="28"/>
        <v/>
      </c>
      <c r="AN37" s="425" t="str">
        <f t="shared" ca="1" si="28"/>
        <v/>
      </c>
      <c r="AO37" s="315" t="str">
        <f t="shared" ca="1" si="28"/>
        <v/>
      </c>
      <c r="AP37" s="315" t="str">
        <f t="shared" ca="1" si="28"/>
        <v/>
      </c>
      <c r="AQ37" s="315">
        <f t="shared" ca="1" si="28"/>
        <v>308851.47500537534</v>
      </c>
      <c r="AR37" s="315" t="str">
        <f t="shared" ca="1" si="28"/>
        <v/>
      </c>
      <c r="AS37" s="315" t="str">
        <f t="shared" ca="1" si="28"/>
        <v/>
      </c>
      <c r="AT37" s="425" t="str">
        <f t="shared" ca="1" si="28"/>
        <v/>
      </c>
      <c r="AU37" s="315" t="str">
        <f t="shared" ca="1" si="28"/>
        <v/>
      </c>
      <c r="AV37" s="315" t="str">
        <f t="shared" ca="1" si="28"/>
        <v/>
      </c>
      <c r="AW37" s="315" t="str">
        <f t="shared" ca="1" si="28"/>
        <v/>
      </c>
      <c r="AX37" s="315" t="str">
        <f t="shared" ca="1" si="28"/>
        <v/>
      </c>
      <c r="AY37" s="315" t="str">
        <f t="shared" ca="1" si="28"/>
        <v/>
      </c>
      <c r="AZ37" s="315" t="str">
        <f t="shared" ca="1" si="28"/>
        <v/>
      </c>
      <c r="BA37" s="114"/>
    </row>
    <row r="38" spans="1:55" ht="15.6">
      <c r="B38" s="458" t="s">
        <v>517</v>
      </c>
      <c r="C38" s="461" t="s">
        <v>250</v>
      </c>
      <c r="D38" s="459" t="s">
        <v>223</v>
      </c>
      <c r="E38" s="460" t="s">
        <v>251</v>
      </c>
      <c r="F38" s="108"/>
      <c r="G38" s="410">
        <f ca="1">SUM(G8:G37)</f>
        <v>12</v>
      </c>
      <c r="H38" s="415">
        <f>SUM(H8:H37)</f>
        <v>12</v>
      </c>
      <c r="I38" s="415">
        <f>SUM(I8:I37)</f>
        <v>12</v>
      </c>
      <c r="J38" s="415">
        <f>SUM(J8:J37)</f>
        <v>0</v>
      </c>
      <c r="K38" s="411"/>
      <c r="L38" s="267"/>
      <c r="M38" s="412" t="s">
        <v>307</v>
      </c>
      <c r="N38" s="405">
        <f ca="1">SUMPRODUCT($G$8:$G$37,N8:N37)</f>
        <v>4780000</v>
      </c>
      <c r="O38" s="405">
        <f ca="1">SUMPRODUCT($G$8:$G$37,O8:O37)</f>
        <v>4433594.9297091477</v>
      </c>
      <c r="P38" s="478">
        <f ca="1">SUMPRODUCT($G$8:$G$37,P8:P37)</f>
        <v>900000</v>
      </c>
      <c r="Q38" s="863"/>
      <c r="R38" s="863"/>
      <c r="S38" s="166"/>
      <c r="T38" s="273"/>
      <c r="U38"/>
      <c r="V38" s="270" t="s">
        <v>518</v>
      </c>
      <c r="W38" s="315" t="str">
        <f t="shared" ref="W38:AZ38" ca="1" si="29">W22</f>
        <v/>
      </c>
      <c r="X38" s="315" t="str">
        <f t="shared" ca="1" si="29"/>
        <v/>
      </c>
      <c r="Y38" s="315" t="str">
        <f t="shared" ca="1" si="29"/>
        <v/>
      </c>
      <c r="Z38" s="315" t="str">
        <f t="shared" ca="1" si="29"/>
        <v/>
      </c>
      <c r="AA38" s="315" t="str">
        <f t="shared" ca="1" si="29"/>
        <v/>
      </c>
      <c r="AB38" s="425" t="str">
        <f t="shared" ca="1" si="29"/>
        <v/>
      </c>
      <c r="AC38" s="315" t="str">
        <f t="shared" ca="1" si="29"/>
        <v/>
      </c>
      <c r="AD38" s="315" t="str">
        <f t="shared" ca="1" si="29"/>
        <v/>
      </c>
      <c r="AE38" s="315">
        <f t="shared" ca="1" si="29"/>
        <v>75000</v>
      </c>
      <c r="AF38" s="315" t="str">
        <f t="shared" ca="1" si="29"/>
        <v/>
      </c>
      <c r="AG38" s="315" t="str">
        <f t="shared" ca="1" si="29"/>
        <v/>
      </c>
      <c r="AH38" s="425" t="str">
        <f t="shared" ca="1" si="29"/>
        <v/>
      </c>
      <c r="AI38" s="315" t="str">
        <f t="shared" ca="1" si="29"/>
        <v/>
      </c>
      <c r="AJ38" s="315" t="str">
        <f t="shared" ca="1" si="29"/>
        <v/>
      </c>
      <c r="AK38" s="315">
        <f t="shared" ca="1" si="29"/>
        <v>75000</v>
      </c>
      <c r="AL38" s="315" t="str">
        <f t="shared" ca="1" si="29"/>
        <v/>
      </c>
      <c r="AM38" s="315" t="str">
        <f t="shared" ca="1" si="29"/>
        <v/>
      </c>
      <c r="AN38" s="425" t="str">
        <f t="shared" ca="1" si="29"/>
        <v/>
      </c>
      <c r="AO38" s="315" t="str">
        <f t="shared" ca="1" si="29"/>
        <v/>
      </c>
      <c r="AP38" s="315" t="str">
        <f t="shared" ca="1" si="29"/>
        <v/>
      </c>
      <c r="AQ38" s="315">
        <f t="shared" ca="1" si="29"/>
        <v>75000</v>
      </c>
      <c r="AR38" s="315" t="str">
        <f t="shared" ca="1" si="29"/>
        <v/>
      </c>
      <c r="AS38" s="315" t="str">
        <f t="shared" ca="1" si="29"/>
        <v/>
      </c>
      <c r="AT38" s="425" t="str">
        <f t="shared" ca="1" si="29"/>
        <v/>
      </c>
      <c r="AU38" s="315" t="str">
        <f t="shared" ca="1" si="29"/>
        <v/>
      </c>
      <c r="AV38" s="315" t="str">
        <f t="shared" ca="1" si="29"/>
        <v/>
      </c>
      <c r="AW38" s="315" t="str">
        <f t="shared" ca="1" si="29"/>
        <v/>
      </c>
      <c r="AX38" s="315" t="str">
        <f t="shared" ca="1" si="29"/>
        <v/>
      </c>
      <c r="AY38" s="315" t="str">
        <f t="shared" ca="1" si="29"/>
        <v/>
      </c>
      <c r="AZ38" s="315" t="str">
        <f t="shared" ca="1" si="29"/>
        <v/>
      </c>
      <c r="BA38" s="114"/>
    </row>
    <row r="39" spans="1:55" ht="15" thickBot="1">
      <c r="B39" s="300" t="s">
        <v>519</v>
      </c>
      <c r="C39" s="303">
        <f ca="1">O38</f>
        <v>4433594.9297091477</v>
      </c>
      <c r="D39" s="301">
        <f ca="1">IF($G$38&gt;0,C39/$G$38,0)</f>
        <v>369466.24414242897</v>
      </c>
      <c r="E39" s="302">
        <f ca="1">C39/$C$40</f>
        <v>1</v>
      </c>
      <c r="F39" s="117"/>
      <c r="J39" s="151"/>
      <c r="K39" s="151"/>
      <c r="S39" s="47"/>
      <c r="T39" s="273"/>
      <c r="U39"/>
      <c r="V39" s="270"/>
      <c r="W39" s="310"/>
      <c r="X39" s="310"/>
      <c r="Y39" s="310"/>
      <c r="Z39" s="310"/>
      <c r="AA39" s="310"/>
      <c r="AB39" s="426"/>
      <c r="AC39" s="310"/>
      <c r="AD39" s="310"/>
      <c r="AE39" s="310"/>
      <c r="AF39" s="310"/>
      <c r="AG39" s="310"/>
      <c r="AH39" s="426"/>
      <c r="AI39" s="310"/>
      <c r="AJ39" s="310"/>
      <c r="AK39" s="310"/>
      <c r="AL39" s="310"/>
      <c r="AM39" s="310"/>
      <c r="AN39" s="426"/>
      <c r="AO39" s="310"/>
      <c r="AP39" s="310"/>
      <c r="AQ39" s="310"/>
      <c r="AR39" s="310"/>
      <c r="AS39" s="310"/>
      <c r="AT39" s="426"/>
      <c r="AU39" s="310"/>
      <c r="AV39" s="310"/>
      <c r="AW39" s="310"/>
      <c r="AX39" s="310"/>
      <c r="AY39" s="310"/>
      <c r="AZ39" s="310"/>
      <c r="BA39" s="114"/>
    </row>
    <row r="40" spans="1:55" ht="31.9" thickTop="1">
      <c r="B40" s="93" t="s">
        <v>520</v>
      </c>
      <c r="C40" s="115">
        <f ca="1">C39</f>
        <v>4433594.9297091477</v>
      </c>
      <c r="D40" s="115">
        <f ca="1">D39</f>
        <v>369466.24414242897</v>
      </c>
      <c r="E40" s="309">
        <f ca="1">E39</f>
        <v>1</v>
      </c>
      <c r="F40" s="117"/>
      <c r="G40" s="86"/>
      <c r="H40" s="152"/>
      <c r="I40" s="152"/>
      <c r="J40" s="153"/>
      <c r="K40" s="153"/>
      <c r="L40" s="86"/>
      <c r="M40" s="86"/>
      <c r="N40" s="86"/>
      <c r="O40" s="86"/>
      <c r="P40" s="86"/>
      <c r="Q40" s="86"/>
      <c r="R40" s="86"/>
      <c r="S40" s="48"/>
      <c r="T40" s="273"/>
      <c r="U40"/>
      <c r="V40" s="321" t="s">
        <v>521</v>
      </c>
      <c r="W40" s="311"/>
      <c r="X40" s="311"/>
      <c r="Y40" s="311"/>
      <c r="Z40" s="311"/>
      <c r="AA40" s="311"/>
      <c r="AB40" s="427"/>
      <c r="AC40" s="311"/>
      <c r="AD40" s="311"/>
      <c r="AE40" s="311"/>
      <c r="AF40" s="311"/>
      <c r="AG40" s="311"/>
      <c r="AH40" s="427"/>
      <c r="AI40" s="311"/>
      <c r="AJ40" s="311"/>
      <c r="AK40" s="311"/>
      <c r="AL40" s="311"/>
      <c r="AM40" s="311"/>
      <c r="AN40" s="427"/>
      <c r="AO40" s="311"/>
      <c r="AP40" s="311"/>
      <c r="AQ40" s="311"/>
      <c r="AR40" s="311"/>
      <c r="AS40" s="311"/>
      <c r="AT40" s="427"/>
      <c r="AU40" s="311"/>
      <c r="AV40" s="311"/>
      <c r="AW40" s="311"/>
      <c r="AX40" s="311"/>
      <c r="AY40" s="311"/>
      <c r="AZ40" s="311"/>
      <c r="BA40" s="114"/>
    </row>
    <row r="41" spans="1:55" ht="17.45">
      <c r="B41" s="97"/>
      <c r="C41" s="115"/>
      <c r="D41" s="115"/>
      <c r="E41" s="116"/>
      <c r="F41" s="117"/>
      <c r="G41" s="442" t="s">
        <v>321</v>
      </c>
      <c r="H41" s="443"/>
      <c r="I41" s="444" t="s">
        <v>322</v>
      </c>
      <c r="J41" s="445" t="s">
        <v>323</v>
      </c>
      <c r="K41" s="154"/>
      <c r="L41" s="442" t="s">
        <v>312</v>
      </c>
      <c r="M41" s="446"/>
      <c r="N41" s="446"/>
      <c r="O41" s="32" t="s">
        <v>171</v>
      </c>
      <c r="P41" s="613">
        <v>1</v>
      </c>
      <c r="Q41" s="281"/>
      <c r="R41" s="281"/>
      <c r="S41" s="49"/>
      <c r="T41" s="273"/>
      <c r="U41"/>
      <c r="V41" s="322" t="s">
        <v>522</v>
      </c>
      <c r="W41" s="311"/>
      <c r="X41" s="311"/>
      <c r="Y41" s="311"/>
      <c r="Z41" s="311"/>
      <c r="AA41" s="311"/>
      <c r="AB41" s="427"/>
      <c r="AC41" s="311"/>
      <c r="AD41" s="311"/>
      <c r="AE41" s="311"/>
      <c r="AF41" s="311"/>
      <c r="AG41" s="311"/>
      <c r="AH41" s="427"/>
      <c r="AI41" s="311"/>
      <c r="AJ41" s="311"/>
      <c r="AK41" s="311"/>
      <c r="AL41" s="311"/>
      <c r="AM41" s="311"/>
      <c r="AN41" s="427"/>
      <c r="AO41" s="311"/>
      <c r="AP41" s="311"/>
      <c r="AQ41" s="311"/>
      <c r="AR41" s="311"/>
      <c r="AS41" s="311"/>
      <c r="AT41" s="427"/>
      <c r="AU41" s="311"/>
      <c r="AV41" s="311"/>
      <c r="AW41" s="311"/>
      <c r="AX41" s="311"/>
      <c r="AY41" s="311"/>
      <c r="AZ41" s="311"/>
      <c r="BA41" s="114"/>
    </row>
    <row r="42" spans="1:55" ht="15" thickBot="1">
      <c r="B42" s="95" t="s">
        <v>328</v>
      </c>
      <c r="C42" s="139">
        <f ca="1">C40-C36</f>
        <v>-5342635.0774158537</v>
      </c>
      <c r="D42" s="139">
        <f ca="1">D40-D36</f>
        <v>-445219.58978465456</v>
      </c>
      <c r="E42" s="470"/>
      <c r="F42" s="117"/>
      <c r="G42" s="52" t="s">
        <v>329</v>
      </c>
      <c r="H42" s="156"/>
      <c r="I42" s="157"/>
      <c r="J42" s="158"/>
      <c r="K42" s="157"/>
      <c r="L42" s="53"/>
      <c r="M42" s="506" t="s">
        <v>181</v>
      </c>
      <c r="N42" s="17">
        <v>1</v>
      </c>
      <c r="O42" s="16">
        <v>2</v>
      </c>
      <c r="P42" s="678">
        <v>3</v>
      </c>
      <c r="Q42" s="864"/>
      <c r="R42" s="864"/>
      <c r="S42" s="180"/>
      <c r="T42" s="282"/>
      <c r="U42"/>
      <c r="V42" s="323" t="s">
        <v>523</v>
      </c>
      <c r="W42" s="316" t="str">
        <f ca="1">W37</f>
        <v/>
      </c>
      <c r="X42" s="316" t="str">
        <f t="shared" ref="X42:AZ42" ca="1" si="30">X37</f>
        <v/>
      </c>
      <c r="Y42" s="316" t="str">
        <f t="shared" ca="1" si="30"/>
        <v/>
      </c>
      <c r="Z42" s="316" t="str">
        <f t="shared" ca="1" si="30"/>
        <v/>
      </c>
      <c r="AA42" s="316" t="str">
        <f t="shared" ca="1" si="30"/>
        <v/>
      </c>
      <c r="AB42" s="428" t="str">
        <f t="shared" ca="1" si="30"/>
        <v/>
      </c>
      <c r="AC42" s="316" t="str">
        <f t="shared" ca="1" si="30"/>
        <v/>
      </c>
      <c r="AD42" s="316" t="str">
        <f t="shared" ca="1" si="30"/>
        <v/>
      </c>
      <c r="AE42" s="316">
        <f t="shared" ca="1" si="30"/>
        <v>286697.78274057916</v>
      </c>
      <c r="AF42" s="316" t="str">
        <f t="shared" ca="1" si="30"/>
        <v/>
      </c>
      <c r="AG42" s="316" t="str">
        <f t="shared" ca="1" si="30"/>
        <v/>
      </c>
      <c r="AH42" s="428" t="str">
        <f t="shared" ca="1" si="30"/>
        <v/>
      </c>
      <c r="AI42" s="316" t="str">
        <f t="shared" ca="1" si="30"/>
        <v/>
      </c>
      <c r="AJ42" s="316" t="str">
        <f t="shared" ca="1" si="30"/>
        <v/>
      </c>
      <c r="AK42" s="316">
        <f t="shared" ca="1" si="30"/>
        <v>296849.47468133224</v>
      </c>
      <c r="AL42" s="316" t="str">
        <f t="shared" ca="1" si="30"/>
        <v/>
      </c>
      <c r="AM42" s="316" t="str">
        <f t="shared" ca="1" si="30"/>
        <v/>
      </c>
      <c r="AN42" s="428" t="str">
        <f t="shared" ca="1" si="30"/>
        <v/>
      </c>
      <c r="AO42" s="316" t="str">
        <f t="shared" ca="1" si="30"/>
        <v/>
      </c>
      <c r="AP42" s="316" t="str">
        <f t="shared" ca="1" si="30"/>
        <v/>
      </c>
      <c r="AQ42" s="316">
        <f t="shared" ca="1" si="30"/>
        <v>308851.47500537534</v>
      </c>
      <c r="AR42" s="316" t="str">
        <f t="shared" ca="1" si="30"/>
        <v/>
      </c>
      <c r="AS42" s="316" t="str">
        <f t="shared" ca="1" si="30"/>
        <v/>
      </c>
      <c r="AT42" s="428" t="str">
        <f t="shared" ca="1" si="30"/>
        <v/>
      </c>
      <c r="AU42" s="316" t="str">
        <f t="shared" ca="1" si="30"/>
        <v/>
      </c>
      <c r="AV42" s="316" t="str">
        <f t="shared" ca="1" si="30"/>
        <v/>
      </c>
      <c r="AW42" s="316" t="str">
        <f t="shared" ca="1" si="30"/>
        <v/>
      </c>
      <c r="AX42" s="316" t="str">
        <f t="shared" ca="1" si="30"/>
        <v/>
      </c>
      <c r="AY42" s="316" t="str">
        <f t="shared" ca="1" si="30"/>
        <v/>
      </c>
      <c r="AZ42" s="316" t="str">
        <f t="shared" ca="1" si="30"/>
        <v/>
      </c>
      <c r="BA42" s="114"/>
    </row>
    <row r="43" spans="1:55" ht="16.899999999999999" thickTop="1" thickBot="1">
      <c r="B43" s="299"/>
      <c r="C43" s="135"/>
      <c r="D43" s="135"/>
      <c r="E43" s="117"/>
      <c r="F43" s="136"/>
      <c r="G43" s="28" t="s">
        <v>329</v>
      </c>
      <c r="H43" s="79"/>
      <c r="I43" s="603">
        <v>10500000</v>
      </c>
      <c r="J43" s="159">
        <f ca="1">I43/$G$38</f>
        <v>875000</v>
      </c>
      <c r="K43" s="160"/>
      <c r="L43" s="53"/>
      <c r="M43" s="504" t="s">
        <v>186</v>
      </c>
      <c r="N43" s="600" t="s">
        <v>270</v>
      </c>
      <c r="O43" s="601" t="s">
        <v>460</v>
      </c>
      <c r="P43" s="614" t="s">
        <v>272</v>
      </c>
      <c r="Q43" s="865"/>
      <c r="R43" s="865"/>
      <c r="S43" s="184"/>
      <c r="T43" s="324"/>
      <c r="U43" s="325"/>
      <c r="V43" s="326">
        <v>3</v>
      </c>
      <c r="W43" s="315" t="str">
        <f ca="1">IFERROR((CUMPRINC(W$19/12,30*12,W$42,1,$V43*12,0)+W$42),"")</f>
        <v/>
      </c>
      <c r="X43" s="315" t="str">
        <f t="shared" ref="X43:AZ48" ca="1" si="31">IFERROR((CUMPRINC(X$19/12,30*12,X$42,1,$V43*12,0)+X$42),"")</f>
        <v/>
      </c>
      <c r="Y43" s="315" t="str">
        <f t="shared" ca="1" si="31"/>
        <v/>
      </c>
      <c r="Z43" s="315" t="str">
        <f t="shared" ca="1" si="31"/>
        <v/>
      </c>
      <c r="AA43" s="315" t="str">
        <f t="shared" ca="1" si="31"/>
        <v/>
      </c>
      <c r="AB43" s="315" t="str">
        <f t="shared" ca="1" si="31"/>
        <v/>
      </c>
      <c r="AC43" s="315" t="str">
        <f t="shared" ca="1" si="31"/>
        <v/>
      </c>
      <c r="AD43" s="315" t="str">
        <f t="shared" ca="1" si="31"/>
        <v/>
      </c>
      <c r="AE43" s="315">
        <f t="shared" ca="1" si="31"/>
        <v>275468.91889266518</v>
      </c>
      <c r="AF43" s="315" t="str">
        <f t="shared" ca="1" si="31"/>
        <v/>
      </c>
      <c r="AG43" s="315" t="str">
        <f t="shared" ca="1" si="31"/>
        <v/>
      </c>
      <c r="AH43" s="315" t="str">
        <f t="shared" ca="1" si="31"/>
        <v/>
      </c>
      <c r="AI43" s="315" t="str">
        <f t="shared" ca="1" si="31"/>
        <v/>
      </c>
      <c r="AJ43" s="315" t="str">
        <f t="shared" ca="1" si="31"/>
        <v/>
      </c>
      <c r="AK43" s="315">
        <f t="shared" ca="1" si="31"/>
        <v>285223.00759582425</v>
      </c>
      <c r="AL43" s="315" t="str">
        <f t="shared" ca="1" si="31"/>
        <v/>
      </c>
      <c r="AM43" s="315" t="str">
        <f t="shared" ca="1" si="31"/>
        <v/>
      </c>
      <c r="AN43" s="315" t="str">
        <f t="shared" ca="1" si="31"/>
        <v/>
      </c>
      <c r="AO43" s="315" t="str">
        <f t="shared" ca="1" si="31"/>
        <v/>
      </c>
      <c r="AP43" s="315" t="str">
        <f t="shared" ca="1" si="31"/>
        <v/>
      </c>
      <c r="AQ43" s="315">
        <f t="shared" ca="1" si="31"/>
        <v>296754.93512665271</v>
      </c>
      <c r="AR43" s="315" t="str">
        <f t="shared" ca="1" si="31"/>
        <v/>
      </c>
      <c r="AS43" s="315" t="str">
        <f t="shared" ca="1" si="31"/>
        <v/>
      </c>
      <c r="AT43" s="315" t="str">
        <f t="shared" ca="1" si="31"/>
        <v/>
      </c>
      <c r="AU43" s="315" t="str">
        <f t="shared" ca="1" si="31"/>
        <v/>
      </c>
      <c r="AV43" s="315" t="str">
        <f t="shared" ca="1" si="31"/>
        <v/>
      </c>
      <c r="AW43" s="315" t="str">
        <f t="shared" ca="1" si="31"/>
        <v/>
      </c>
      <c r="AX43" s="315" t="str">
        <f t="shared" ca="1" si="31"/>
        <v/>
      </c>
      <c r="AY43" s="315" t="str">
        <f t="shared" ca="1" si="31"/>
        <v/>
      </c>
      <c r="AZ43" s="315" t="str">
        <f t="shared" ca="1" si="31"/>
        <v/>
      </c>
      <c r="BA43" s="114"/>
    </row>
    <row r="44" spans="1:55" ht="14.65" customHeight="1">
      <c r="B44" s="466" t="s">
        <v>524</v>
      </c>
      <c r="C44" s="479" cm="1">
        <f t="array" aca="1" ref="C44" ca="1">_xlfn.IFS(C30+C42&lt;0,C30+C42,C30+C42=0,0,C30+C42&gt;0,C30+C42)</f>
        <v>-5118045.079790853</v>
      </c>
      <c r="D44" s="480">
        <f ca="1">IF($G$38&gt;0,C44/G38,0)</f>
        <v>-426503.75664923777</v>
      </c>
      <c r="E44" s="481"/>
      <c r="F44" s="108"/>
      <c r="G44" s="172" t="s">
        <v>461</v>
      </c>
      <c r="H44" s="173"/>
      <c r="I44" s="604">
        <v>0</v>
      </c>
      <c r="J44" s="211">
        <f ca="1">I44/$G$38</f>
        <v>0</v>
      </c>
      <c r="K44" s="160"/>
      <c r="L44" s="54" t="s">
        <v>324</v>
      </c>
      <c r="M44" s="163"/>
      <c r="N44" s="164"/>
      <c r="O44" s="164"/>
      <c r="P44" s="165"/>
      <c r="Q44" s="166"/>
      <c r="R44" s="166"/>
      <c r="S44" s="186"/>
      <c r="T44" s="282"/>
      <c r="U44"/>
      <c r="V44" s="326">
        <v>5</v>
      </c>
      <c r="W44" s="315" t="str">
        <f t="shared" ref="W44:AL48" ca="1" si="32">IFERROR((CUMPRINC(W$19/12,30*12,W$42,1,$V44*12,0)+W$42),"")</f>
        <v/>
      </c>
      <c r="X44" s="315" t="str">
        <f t="shared" ca="1" si="32"/>
        <v/>
      </c>
      <c r="Y44" s="315" t="str">
        <f t="shared" ca="1" si="32"/>
        <v/>
      </c>
      <c r="Z44" s="315" t="str">
        <f t="shared" ca="1" si="32"/>
        <v/>
      </c>
      <c r="AA44" s="315" t="str">
        <f t="shared" ca="1" si="32"/>
        <v/>
      </c>
      <c r="AB44" s="315" t="str">
        <f t="shared" ca="1" si="32"/>
        <v/>
      </c>
      <c r="AC44" s="315" t="str">
        <f t="shared" ca="1" si="32"/>
        <v/>
      </c>
      <c r="AD44" s="315" t="str">
        <f t="shared" ca="1" si="32"/>
        <v/>
      </c>
      <c r="AE44" s="315">
        <f t="shared" ca="1" si="32"/>
        <v>266781.48045713914</v>
      </c>
      <c r="AF44" s="315" t="str">
        <f t="shared" ca="1" si="32"/>
        <v/>
      </c>
      <c r="AG44" s="315" t="str">
        <f t="shared" ca="1" si="32"/>
        <v/>
      </c>
      <c r="AH44" s="315" t="str">
        <f t="shared" ca="1" si="32"/>
        <v/>
      </c>
      <c r="AI44" s="315" t="str">
        <f t="shared" ca="1" si="32"/>
        <v/>
      </c>
      <c r="AJ44" s="315" t="str">
        <f t="shared" ca="1" si="32"/>
        <v/>
      </c>
      <c r="AK44" s="315">
        <f t="shared" ca="1" si="32"/>
        <v>276227.9553451208</v>
      </c>
      <c r="AL44" s="315" t="str">
        <f t="shared" ca="1" si="32"/>
        <v/>
      </c>
      <c r="AM44" s="315" t="str">
        <f t="shared" ca="1" si="31"/>
        <v/>
      </c>
      <c r="AN44" s="315" t="str">
        <f t="shared" ca="1" si="31"/>
        <v/>
      </c>
      <c r="AO44" s="315" t="str">
        <f t="shared" ca="1" si="31"/>
        <v/>
      </c>
      <c r="AP44" s="315" t="str">
        <f t="shared" ca="1" si="31"/>
        <v/>
      </c>
      <c r="AQ44" s="315">
        <f t="shared" ca="1" si="31"/>
        <v>287396.20151810418</v>
      </c>
      <c r="AR44" s="315" t="str">
        <f t="shared" ca="1" si="31"/>
        <v/>
      </c>
      <c r="AS44" s="315" t="str">
        <f t="shared" ca="1" si="31"/>
        <v/>
      </c>
      <c r="AT44" s="315" t="str">
        <f t="shared" ca="1" si="31"/>
        <v/>
      </c>
      <c r="AU44" s="315" t="str">
        <f t="shared" ca="1" si="31"/>
        <v/>
      </c>
      <c r="AV44" s="315" t="str">
        <f t="shared" ca="1" si="31"/>
        <v/>
      </c>
      <c r="AW44" s="315" t="str">
        <f t="shared" ca="1" si="31"/>
        <v/>
      </c>
      <c r="AX44" s="315" t="str">
        <f t="shared" ca="1" si="31"/>
        <v/>
      </c>
      <c r="AY44" s="315" t="str">
        <f t="shared" ca="1" si="31"/>
        <v/>
      </c>
      <c r="AZ44" s="315" t="str">
        <f t="shared" ca="1" si="31"/>
        <v/>
      </c>
      <c r="BA44" s="114"/>
    </row>
    <row r="45" spans="1:55" ht="14.45">
      <c r="B45" s="9"/>
      <c r="C45" s="482"/>
      <c r="D45" s="482"/>
      <c r="E45" s="483"/>
      <c r="F45" s="117"/>
      <c r="G45" s="175" t="s">
        <v>334</v>
      </c>
      <c r="H45" s="176"/>
      <c r="I45" s="177">
        <f>SUM(I43:I44)</f>
        <v>10500000</v>
      </c>
      <c r="J45" s="177">
        <f ca="1">SUM(J43:J44)</f>
        <v>875000</v>
      </c>
      <c r="K45" s="160"/>
      <c r="L45" s="66" t="s">
        <v>325</v>
      </c>
      <c r="M45" s="74">
        <f ca="1">IF(ISBLANK(OFFSET(M45,0,$P$41)),$N45,OFFSET(M45,0,$P$41))</f>
        <v>0.75</v>
      </c>
      <c r="N45" s="615">
        <v>0.75</v>
      </c>
      <c r="O45" s="616">
        <v>0.3</v>
      </c>
      <c r="P45" s="617"/>
      <c r="Q45" s="866"/>
      <c r="R45" s="866"/>
      <c r="S45" s="191"/>
      <c r="T45" s="282"/>
      <c r="U45"/>
      <c r="V45" s="326">
        <v>7</v>
      </c>
      <c r="W45" s="315" t="str">
        <f t="shared" ca="1" si="32"/>
        <v/>
      </c>
      <c r="X45" s="315" t="str">
        <f t="shared" ca="1" si="31"/>
        <v/>
      </c>
      <c r="Y45" s="315" t="str">
        <f t="shared" ca="1" si="31"/>
        <v/>
      </c>
      <c r="Z45" s="315" t="str">
        <f t="shared" ca="1" si="31"/>
        <v/>
      </c>
      <c r="AA45" s="315" t="str">
        <f t="shared" ca="1" si="31"/>
        <v/>
      </c>
      <c r="AB45" s="315" t="str">
        <f t="shared" ca="1" si="31"/>
        <v/>
      </c>
      <c r="AC45" s="315" t="str">
        <f t="shared" ca="1" si="31"/>
        <v/>
      </c>
      <c r="AD45" s="315" t="str">
        <f t="shared" ca="1" si="31"/>
        <v/>
      </c>
      <c r="AE45" s="315">
        <f t="shared" ca="1" si="31"/>
        <v>256989.54416077709</v>
      </c>
      <c r="AF45" s="315" t="str">
        <f t="shared" ca="1" si="31"/>
        <v/>
      </c>
      <c r="AG45" s="315" t="str">
        <f t="shared" ca="1" si="31"/>
        <v/>
      </c>
      <c r="AH45" s="315" t="str">
        <f t="shared" ca="1" si="31"/>
        <v/>
      </c>
      <c r="AI45" s="315" t="str">
        <f t="shared" ca="1" si="31"/>
        <v/>
      </c>
      <c r="AJ45" s="315" t="str">
        <f t="shared" ca="1" si="31"/>
        <v/>
      </c>
      <c r="AK45" s="315">
        <f t="shared" ca="1" si="31"/>
        <v>266089.29602971789</v>
      </c>
      <c r="AL45" s="315" t="str">
        <f t="shared" ca="1" si="31"/>
        <v/>
      </c>
      <c r="AM45" s="315" t="str">
        <f t="shared" ca="1" si="31"/>
        <v/>
      </c>
      <c r="AN45" s="315" t="str">
        <f t="shared" ca="1" si="31"/>
        <v/>
      </c>
      <c r="AO45" s="315" t="str">
        <f t="shared" ca="1" si="31"/>
        <v/>
      </c>
      <c r="AP45" s="315" t="str">
        <f t="shared" ca="1" si="31"/>
        <v/>
      </c>
      <c r="AQ45" s="315">
        <f t="shared" ca="1" si="31"/>
        <v>276847.62336245581</v>
      </c>
      <c r="AR45" s="315" t="str">
        <f t="shared" ca="1" si="31"/>
        <v/>
      </c>
      <c r="AS45" s="315" t="str">
        <f t="shared" ca="1" si="31"/>
        <v/>
      </c>
      <c r="AT45" s="315" t="str">
        <f t="shared" ca="1" si="31"/>
        <v/>
      </c>
      <c r="AU45" s="315" t="str">
        <f t="shared" ca="1" si="31"/>
        <v/>
      </c>
      <c r="AV45" s="315" t="str">
        <f t="shared" ca="1" si="31"/>
        <v/>
      </c>
      <c r="AW45" s="315" t="str">
        <f t="shared" ca="1" si="31"/>
        <v/>
      </c>
      <c r="AX45" s="315" t="str">
        <f t="shared" ca="1" si="31"/>
        <v/>
      </c>
      <c r="AY45" s="315" t="str">
        <f t="shared" ca="1" si="31"/>
        <v/>
      </c>
      <c r="AZ45" s="315" t="str">
        <f t="shared" ca="1" si="31"/>
        <v/>
      </c>
      <c r="BA45" s="114"/>
    </row>
    <row r="46" spans="1:55" ht="15" thickBot="1">
      <c r="B46" s="471" t="s">
        <v>458</v>
      </c>
      <c r="C46" s="472">
        <f ca="1">P38</f>
        <v>900000</v>
      </c>
      <c r="D46" s="472">
        <f ca="1">IF($G$38&gt;0,C46/G38,0)</f>
        <v>75000</v>
      </c>
      <c r="E46" s="107"/>
      <c r="F46" s="117"/>
      <c r="G46" s="28"/>
      <c r="H46" s="79"/>
      <c r="I46" s="179"/>
      <c r="J46" s="159"/>
      <c r="K46" s="160"/>
      <c r="L46" s="12" t="s">
        <v>280</v>
      </c>
      <c r="M46" s="23">
        <f ca="1">IF(ISBLANK(OFFSET(M46,0,$P$41)),$N46,OFFSET(M46,0,$P$41))</f>
        <v>7.4999999999999997E-2</v>
      </c>
      <c r="N46" s="618">
        <v>7.4999999999999997E-2</v>
      </c>
      <c r="O46" s="619"/>
      <c r="P46" s="620"/>
      <c r="Q46" s="867"/>
      <c r="R46" s="867"/>
      <c r="S46" s="191"/>
      <c r="T46" s="282"/>
      <c r="U46"/>
      <c r="V46" s="326">
        <v>10</v>
      </c>
      <c r="W46" s="315" t="str">
        <f t="shared" ca="1" si="32"/>
        <v/>
      </c>
      <c r="X46" s="315" t="str">
        <f t="shared" ca="1" si="31"/>
        <v/>
      </c>
      <c r="Y46" s="315" t="str">
        <f t="shared" ca="1" si="31"/>
        <v/>
      </c>
      <c r="Z46" s="315" t="str">
        <f t="shared" ca="1" si="31"/>
        <v/>
      </c>
      <c r="AA46" s="315" t="str">
        <f t="shared" ca="1" si="31"/>
        <v/>
      </c>
      <c r="AB46" s="315" t="str">
        <f t="shared" ca="1" si="31"/>
        <v/>
      </c>
      <c r="AC46" s="315" t="str">
        <f t="shared" ca="1" si="31"/>
        <v/>
      </c>
      <c r="AD46" s="315" t="str">
        <f t="shared" ca="1" si="31"/>
        <v/>
      </c>
      <c r="AE46" s="315">
        <f t="shared" ca="1" si="31"/>
        <v>239918.7095739654</v>
      </c>
      <c r="AF46" s="315" t="str">
        <f t="shared" ca="1" si="31"/>
        <v/>
      </c>
      <c r="AG46" s="315" t="str">
        <f t="shared" ca="1" si="31"/>
        <v/>
      </c>
      <c r="AH46" s="315" t="str">
        <f t="shared" ca="1" si="31"/>
        <v/>
      </c>
      <c r="AI46" s="315" t="str">
        <f t="shared" ca="1" si="31"/>
        <v/>
      </c>
      <c r="AJ46" s="315" t="str">
        <f t="shared" ca="1" si="31"/>
        <v/>
      </c>
      <c r="AK46" s="315">
        <f t="shared" ca="1" si="31"/>
        <v>248413.99965656002</v>
      </c>
      <c r="AL46" s="315" t="str">
        <f t="shared" ca="1" si="31"/>
        <v/>
      </c>
      <c r="AM46" s="315" t="str">
        <f t="shared" ca="1" si="31"/>
        <v/>
      </c>
      <c r="AN46" s="315" t="str">
        <f t="shared" ca="1" si="31"/>
        <v/>
      </c>
      <c r="AO46" s="315" t="str">
        <f t="shared" ca="1" si="31"/>
        <v/>
      </c>
      <c r="AP46" s="315" t="str">
        <f t="shared" ca="1" si="31"/>
        <v/>
      </c>
      <c r="AQ46" s="315">
        <f t="shared" ca="1" si="31"/>
        <v>258457.69236504627</v>
      </c>
      <c r="AR46" s="315" t="str">
        <f t="shared" ca="1" si="31"/>
        <v/>
      </c>
      <c r="AS46" s="315" t="str">
        <f t="shared" ca="1" si="31"/>
        <v/>
      </c>
      <c r="AT46" s="315" t="str">
        <f t="shared" ca="1" si="31"/>
        <v/>
      </c>
      <c r="AU46" s="315" t="str">
        <f t="shared" ca="1" si="31"/>
        <v/>
      </c>
      <c r="AV46" s="315" t="str">
        <f t="shared" ca="1" si="31"/>
        <v/>
      </c>
      <c r="AW46" s="315" t="str">
        <f t="shared" ca="1" si="31"/>
        <v/>
      </c>
      <c r="AX46" s="315" t="str">
        <f t="shared" ca="1" si="31"/>
        <v/>
      </c>
      <c r="AY46" s="315" t="str">
        <f t="shared" ca="1" si="31"/>
        <v/>
      </c>
      <c r="AZ46" s="315" t="str">
        <f t="shared" ca="1" si="31"/>
        <v/>
      </c>
      <c r="BA46" s="114"/>
    </row>
    <row r="47" spans="1:55" ht="28.15" thickBot="1">
      <c r="B47" s="467" t="s">
        <v>525</v>
      </c>
      <c r="C47" s="468">
        <f ca="1">SUM(C25:C27,C46)</f>
        <v>3900000</v>
      </c>
      <c r="D47" s="468">
        <f ca="1">IF($G$38&gt;0,C47/G38,0)</f>
        <v>325000</v>
      </c>
      <c r="E47" s="469"/>
      <c r="F47" s="117"/>
      <c r="G47" s="28"/>
      <c r="H47" s="79"/>
      <c r="I47" s="179"/>
      <c r="J47" s="159"/>
      <c r="K47" s="178"/>
      <c r="L47" s="12" t="s">
        <v>332</v>
      </c>
      <c r="M47" s="59">
        <f ca="1">IF(ISBLANK(OFFSET(M47,0,$P$41)),$N47,OFFSET(M47,0,$P$41))</f>
        <v>3</v>
      </c>
      <c r="N47" s="621">
        <v>3</v>
      </c>
      <c r="O47" s="622"/>
      <c r="P47" s="623"/>
      <c r="Q47" s="868"/>
      <c r="R47" s="868"/>
      <c r="S47" s="191"/>
      <c r="T47" s="282"/>
      <c r="U47"/>
      <c r="V47" s="326">
        <v>15</v>
      </c>
      <c r="W47" s="315" t="str">
        <f t="shared" ca="1" si="32"/>
        <v/>
      </c>
      <c r="X47" s="315" t="str">
        <f t="shared" ca="1" si="31"/>
        <v/>
      </c>
      <c r="Y47" s="315" t="str">
        <f t="shared" ca="1" si="31"/>
        <v/>
      </c>
      <c r="Z47" s="315" t="str">
        <f t="shared" ca="1" si="31"/>
        <v/>
      </c>
      <c r="AA47" s="315" t="str">
        <f t="shared" ca="1" si="31"/>
        <v/>
      </c>
      <c r="AB47" s="315" t="str">
        <f t="shared" ca="1" si="31"/>
        <v/>
      </c>
      <c r="AC47" s="315" t="str">
        <f t="shared" ca="1" si="31"/>
        <v/>
      </c>
      <c r="AD47" s="315" t="str">
        <f t="shared" ca="1" si="31"/>
        <v/>
      </c>
      <c r="AE47" s="315">
        <f t="shared" ca="1" si="31"/>
        <v>203686.65960543856</v>
      </c>
      <c r="AF47" s="315" t="str">
        <f t="shared" ca="1" si="31"/>
        <v/>
      </c>
      <c r="AG47" s="315" t="str">
        <f t="shared" ca="1" si="31"/>
        <v/>
      </c>
      <c r="AH47" s="315" t="str">
        <f t="shared" ca="1" si="31"/>
        <v/>
      </c>
      <c r="AI47" s="315" t="str">
        <f t="shared" ca="1" si="31"/>
        <v/>
      </c>
      <c r="AJ47" s="315" t="str">
        <f t="shared" ca="1" si="31"/>
        <v/>
      </c>
      <c r="AK47" s="315">
        <f t="shared" ca="1" si="31"/>
        <v>210899.00774775568</v>
      </c>
      <c r="AL47" s="315" t="str">
        <f t="shared" ca="1" si="31"/>
        <v/>
      </c>
      <c r="AM47" s="315" t="str">
        <f t="shared" ca="1" si="31"/>
        <v/>
      </c>
      <c r="AN47" s="315" t="str">
        <f t="shared" ca="1" si="31"/>
        <v/>
      </c>
      <c r="AO47" s="315" t="str">
        <f t="shared" ca="1" si="31"/>
        <v/>
      </c>
      <c r="AP47" s="315" t="str">
        <f t="shared" ca="1" si="31"/>
        <v/>
      </c>
      <c r="AQ47" s="315">
        <f t="shared" ca="1" si="31"/>
        <v>219425.92180763796</v>
      </c>
      <c r="AR47" s="315" t="str">
        <f t="shared" ca="1" si="31"/>
        <v/>
      </c>
      <c r="AS47" s="315" t="str">
        <f t="shared" ca="1" si="31"/>
        <v/>
      </c>
      <c r="AT47" s="315" t="str">
        <f t="shared" ca="1" si="31"/>
        <v/>
      </c>
      <c r="AU47" s="315" t="str">
        <f t="shared" ca="1" si="31"/>
        <v/>
      </c>
      <c r="AV47" s="315" t="str">
        <f t="shared" ca="1" si="31"/>
        <v/>
      </c>
      <c r="AW47" s="315" t="str">
        <f t="shared" ca="1" si="31"/>
        <v/>
      </c>
      <c r="AX47" s="315" t="str">
        <f t="shared" ca="1" si="31"/>
        <v/>
      </c>
      <c r="AY47" s="315" t="str">
        <f t="shared" ca="1" si="31"/>
        <v/>
      </c>
      <c r="AZ47" s="315" t="str">
        <f t="shared" ca="1" si="31"/>
        <v/>
      </c>
      <c r="BA47" s="114"/>
    </row>
    <row r="48" spans="1:55" ht="15" thickBot="1">
      <c r="C48" s="109"/>
      <c r="D48" s="109"/>
      <c r="F48" s="117"/>
      <c r="G48" s="181" t="s">
        <v>234</v>
      </c>
      <c r="H48" s="176"/>
      <c r="I48" s="179"/>
      <c r="J48" s="159"/>
      <c r="K48" s="160"/>
      <c r="L48" s="396" t="s">
        <v>284</v>
      </c>
      <c r="M48" s="388">
        <f ca="1">IF(ISBLANK(OFFSET(M48,0,$P$41)),$N48,OFFSET(M48,0,$P$41))</f>
        <v>0.02</v>
      </c>
      <c r="N48" s="624">
        <v>0.02</v>
      </c>
      <c r="O48" s="625"/>
      <c r="P48" s="626"/>
      <c r="Q48" s="869"/>
      <c r="R48" s="869"/>
      <c r="S48" s="182"/>
      <c r="T48" s="282"/>
      <c r="U48"/>
      <c r="V48" s="326">
        <v>20</v>
      </c>
      <c r="W48" s="315" t="str">
        <f t="shared" ca="1" si="32"/>
        <v/>
      </c>
      <c r="X48" s="315" t="str">
        <f t="shared" ca="1" si="31"/>
        <v/>
      </c>
      <c r="Y48" s="315" t="str">
        <f t="shared" ca="1" si="31"/>
        <v/>
      </c>
      <c r="Z48" s="315" t="str">
        <f t="shared" ca="1" si="31"/>
        <v/>
      </c>
      <c r="AA48" s="315" t="str">
        <f t="shared" ca="1" si="31"/>
        <v/>
      </c>
      <c r="AB48" s="315" t="str">
        <f t="shared" ca="1" si="31"/>
        <v/>
      </c>
      <c r="AC48" s="315" t="str">
        <f t="shared" ca="1" si="31"/>
        <v/>
      </c>
      <c r="AD48" s="315" t="str">
        <f t="shared" ca="1" si="31"/>
        <v/>
      </c>
      <c r="AE48" s="315">
        <f t="shared" ca="1" si="31"/>
        <v>154817.48484193292</v>
      </c>
      <c r="AF48" s="315" t="str">
        <f t="shared" ca="1" si="31"/>
        <v/>
      </c>
      <c r="AG48" s="315" t="str">
        <f t="shared" ca="1" si="31"/>
        <v/>
      </c>
      <c r="AH48" s="315" t="str">
        <f t="shared" ca="1" si="31"/>
        <v/>
      </c>
      <c r="AI48" s="315" t="str">
        <f t="shared" ca="1" si="31"/>
        <v/>
      </c>
      <c r="AJ48" s="315" t="str">
        <f t="shared" ca="1" si="31"/>
        <v/>
      </c>
      <c r="AK48" s="315">
        <f t="shared" ca="1" si="31"/>
        <v>160299.42264463872</v>
      </c>
      <c r="AL48" s="315" t="str">
        <f t="shared" ca="1" si="31"/>
        <v/>
      </c>
      <c r="AM48" s="315" t="str">
        <f t="shared" ca="1" si="31"/>
        <v/>
      </c>
      <c r="AN48" s="315" t="str">
        <f t="shared" ca="1" si="31"/>
        <v/>
      </c>
      <c r="AO48" s="315" t="str">
        <f t="shared" ca="1" si="31"/>
        <v/>
      </c>
      <c r="AP48" s="315" t="str">
        <f t="shared" ca="1" si="31"/>
        <v/>
      </c>
      <c r="AQ48" s="315">
        <f t="shared" ca="1" si="31"/>
        <v>166780.53137690175</v>
      </c>
      <c r="AR48" s="315" t="str">
        <f t="shared" ca="1" si="31"/>
        <v/>
      </c>
      <c r="AS48" s="315" t="str">
        <f t="shared" ca="1" si="31"/>
        <v/>
      </c>
      <c r="AT48" s="315" t="str">
        <f t="shared" ca="1" si="31"/>
        <v/>
      </c>
      <c r="AU48" s="315" t="str">
        <f t="shared" ca="1" si="31"/>
        <v/>
      </c>
      <c r="AV48" s="315" t="str">
        <f t="shared" ca="1" si="31"/>
        <v/>
      </c>
      <c r="AW48" s="315" t="str">
        <f t="shared" ca="1" si="31"/>
        <v/>
      </c>
      <c r="AX48" s="315" t="str">
        <f t="shared" ca="1" si="31"/>
        <v/>
      </c>
      <c r="AY48" s="315" t="str">
        <f t="shared" ca="1" si="31"/>
        <v/>
      </c>
      <c r="AZ48" s="315" t="str">
        <f t="shared" ca="1" si="31"/>
        <v/>
      </c>
      <c r="BA48" s="114"/>
    </row>
    <row r="49" spans="2:53" ht="14.45">
      <c r="B49" s="111"/>
      <c r="C49" s="109"/>
      <c r="D49" s="109"/>
      <c r="F49" s="117"/>
      <c r="G49" s="28" t="s">
        <v>341</v>
      </c>
      <c r="H49" s="79"/>
      <c r="I49" s="603">
        <v>50000</v>
      </c>
      <c r="J49" s="159">
        <f ca="1">I49/$G$38</f>
        <v>4166.666666666667</v>
      </c>
      <c r="K49" s="160"/>
      <c r="L49" s="175"/>
      <c r="M49" s="176"/>
      <c r="N49" s="182"/>
      <c r="O49" s="166"/>
      <c r="P49" s="183"/>
      <c r="Q49" s="180"/>
      <c r="R49" s="180"/>
      <c r="S49" s="200"/>
      <c r="T49" s="282"/>
      <c r="U49"/>
      <c r="V49" s="326"/>
      <c r="AB49" s="429"/>
      <c r="AH49" s="429"/>
      <c r="AN49" s="429"/>
      <c r="AT49" s="429"/>
      <c r="BA49" s="114"/>
    </row>
    <row r="50" spans="2:53" ht="14.65" customHeight="1" thickBot="1">
      <c r="E50" s="102" t="s">
        <v>344</v>
      </c>
      <c r="F50" s="607">
        <v>50870</v>
      </c>
      <c r="G50" s="28" t="s">
        <v>345</v>
      </c>
      <c r="H50" s="79"/>
      <c r="I50" s="109">
        <f ca="1">F50*G38</f>
        <v>610440</v>
      </c>
      <c r="J50" s="159">
        <f ca="1">I50/$G$38</f>
        <v>50870</v>
      </c>
      <c r="K50" s="160"/>
      <c r="L50" s="28"/>
      <c r="M50" s="79"/>
      <c r="N50" s="2"/>
      <c r="O50" s="166"/>
      <c r="P50" s="185"/>
      <c r="Q50" s="184"/>
      <c r="R50" s="184"/>
      <c r="S50" s="204"/>
      <c r="T50" s="359" t="s">
        <v>526</v>
      </c>
      <c r="U50" s="687">
        <v>0.05</v>
      </c>
      <c r="V50" s="321" t="s">
        <v>527</v>
      </c>
      <c r="W50" s="313"/>
      <c r="X50" s="313"/>
      <c r="Y50" s="313"/>
      <c r="Z50" s="313"/>
      <c r="AA50" s="313"/>
      <c r="AB50" s="430"/>
      <c r="AC50" s="313"/>
      <c r="AD50" s="313"/>
      <c r="AE50" s="313"/>
      <c r="AF50" s="313"/>
      <c r="AG50" s="313"/>
      <c r="AH50" s="430"/>
      <c r="AI50" s="313"/>
      <c r="AJ50" s="313"/>
      <c r="AK50" s="313"/>
      <c r="AL50" s="313"/>
      <c r="AM50" s="313"/>
      <c r="AN50" s="430"/>
      <c r="AO50" s="313"/>
      <c r="AP50" s="313"/>
      <c r="AQ50" s="313"/>
      <c r="AR50" s="313"/>
      <c r="AS50" s="313"/>
      <c r="AT50" s="430"/>
      <c r="AU50" s="313"/>
      <c r="AV50" s="313"/>
      <c r="AW50" s="313"/>
      <c r="AX50" s="313"/>
      <c r="AY50" s="313"/>
      <c r="AZ50" s="313"/>
      <c r="BA50" s="114"/>
    </row>
    <row r="51" spans="2:53" ht="14.65" customHeight="1">
      <c r="E51" s="102" t="s">
        <v>346</v>
      </c>
      <c r="F51" s="608">
        <v>0.25</v>
      </c>
      <c r="G51" s="28" t="s">
        <v>347</v>
      </c>
      <c r="H51" s="79"/>
      <c r="I51" s="603">
        <v>0</v>
      </c>
      <c r="J51" s="159">
        <f ca="1">I51/$G$38</f>
        <v>0</v>
      </c>
      <c r="K51" s="160"/>
      <c r="L51" s="54" t="s">
        <v>528</v>
      </c>
      <c r="M51" s="163"/>
      <c r="N51" s="189"/>
      <c r="O51" s="189"/>
      <c r="P51" s="190"/>
      <c r="Q51" s="313"/>
      <c r="R51" s="313"/>
      <c r="S51" s="207"/>
      <c r="T51" s="67"/>
      <c r="V51" s="323" t="s">
        <v>529</v>
      </c>
      <c r="W51" s="132" t="str">
        <f ca="1">IF(_xlfn.XLOOKUP(W34,$K$8:$K$37,$G$8:$G$37,)&gt;0,_xlfn.XLOOKUP(W34,$K$8:$K$37,$N$8:$N$37),"")</f>
        <v/>
      </c>
      <c r="X51" s="132" t="str">
        <f t="shared" ref="X51:AZ51" ca="1" si="33">IF(_xlfn.XLOOKUP(X34,$K$8:$K$37,$G$8:$G$37,)&gt;0,_xlfn.XLOOKUP(X34,$K$8:$K$37,$N$8:$N$37),"")</f>
        <v/>
      </c>
      <c r="Y51" s="132" t="str">
        <f t="shared" ca="1" si="33"/>
        <v/>
      </c>
      <c r="Z51" s="132" t="str">
        <f t="shared" ca="1" si="33"/>
        <v/>
      </c>
      <c r="AA51" s="132" t="str">
        <f t="shared" ca="1" si="33"/>
        <v/>
      </c>
      <c r="AB51" s="431" t="str">
        <f t="shared" ca="1" si="33"/>
        <v/>
      </c>
      <c r="AC51" s="132" t="str">
        <f t="shared" ca="1" si="33"/>
        <v/>
      </c>
      <c r="AD51" s="132" t="str">
        <f t="shared" ca="1" si="33"/>
        <v/>
      </c>
      <c r="AE51" s="132">
        <f t="shared" ca="1" si="33"/>
        <v>275000</v>
      </c>
      <c r="AF51" s="132" t="str">
        <f t="shared" ca="1" si="33"/>
        <v/>
      </c>
      <c r="AG51" s="132" t="str">
        <f t="shared" ca="1" si="33"/>
        <v/>
      </c>
      <c r="AH51" s="431" t="str">
        <f t="shared" ca="1" si="33"/>
        <v/>
      </c>
      <c r="AI51" s="132" t="str">
        <f t="shared" ca="1" si="33"/>
        <v/>
      </c>
      <c r="AJ51" s="132" t="str">
        <f t="shared" ca="1" si="33"/>
        <v/>
      </c>
      <c r="AK51" s="132">
        <f t="shared" ca="1" si="33"/>
        <v>400000</v>
      </c>
      <c r="AL51" s="132" t="str">
        <f t="shared" ca="1" si="33"/>
        <v/>
      </c>
      <c r="AM51" s="132" t="str">
        <f t="shared" ca="1" si="33"/>
        <v/>
      </c>
      <c r="AN51" s="431" t="str">
        <f t="shared" ca="1" si="33"/>
        <v/>
      </c>
      <c r="AO51" s="132" t="str">
        <f t="shared" ca="1" si="33"/>
        <v/>
      </c>
      <c r="AP51" s="132" t="str">
        <f t="shared" ca="1" si="33"/>
        <v/>
      </c>
      <c r="AQ51" s="132">
        <f t="shared" ca="1" si="33"/>
        <v>520000</v>
      </c>
      <c r="AR51" s="132" t="str">
        <f t="shared" ca="1" si="33"/>
        <v/>
      </c>
      <c r="AS51" s="132" t="str">
        <f t="shared" ca="1" si="33"/>
        <v/>
      </c>
      <c r="AT51" s="431" t="str">
        <f t="shared" ca="1" si="33"/>
        <v/>
      </c>
      <c r="AU51" s="132" t="str">
        <f t="shared" ca="1" si="33"/>
        <v/>
      </c>
      <c r="AV51" s="132" t="str">
        <f t="shared" ca="1" si="33"/>
        <v/>
      </c>
      <c r="AW51" s="132" t="str">
        <f t="shared" ca="1" si="33"/>
        <v/>
      </c>
      <c r="AX51" s="132" t="str">
        <f t="shared" ca="1" si="33"/>
        <v/>
      </c>
      <c r="AY51" s="132" t="str">
        <f t="shared" ca="1" si="33"/>
        <v/>
      </c>
      <c r="AZ51" s="132" t="str">
        <f t="shared" ca="1" si="33"/>
        <v/>
      </c>
      <c r="BA51" s="114"/>
    </row>
    <row r="52" spans="2:53" ht="14.65" customHeight="1">
      <c r="E52" s="102" t="s">
        <v>349</v>
      </c>
      <c r="F52" s="609" t="s">
        <v>530</v>
      </c>
      <c r="G52" s="28" t="s">
        <v>350</v>
      </c>
      <c r="H52" s="79"/>
      <c r="I52" s="109">
        <f>IF(F52="yes",SUM(I49:I51)*F51,0)</f>
        <v>0</v>
      </c>
      <c r="J52" s="159">
        <f ca="1">I52/$G$38</f>
        <v>0</v>
      </c>
      <c r="K52" s="160"/>
      <c r="L52" s="11" t="s">
        <v>222</v>
      </c>
      <c r="M52" s="24">
        <f ca="1">IF(ISBLANK(OFFSET(M52,0,$P$41)),$N52,OFFSET(M52,0,$P$41))</f>
        <v>250000</v>
      </c>
      <c r="N52" s="609">
        <v>250000</v>
      </c>
      <c r="O52" s="609"/>
      <c r="P52" s="628"/>
      <c r="Q52" s="870"/>
      <c r="R52" s="870"/>
      <c r="S52" s="34"/>
      <c r="T52" s="324"/>
      <c r="U52" s="325"/>
      <c r="V52" s="326">
        <v>3</v>
      </c>
      <c r="W52" s="315" t="str">
        <f t="shared" ref="W52:AF57" ca="1" si="34">IFERROR(ROUND(W$51*(1+$U$50)^$V52,-2),"")</f>
        <v/>
      </c>
      <c r="X52" s="315" t="str">
        <f t="shared" ca="1" si="34"/>
        <v/>
      </c>
      <c r="Y52" s="315" t="str">
        <f t="shared" ca="1" si="34"/>
        <v/>
      </c>
      <c r="Z52" s="315" t="str">
        <f t="shared" ca="1" si="34"/>
        <v/>
      </c>
      <c r="AA52" s="315" t="str">
        <f t="shared" ca="1" si="34"/>
        <v/>
      </c>
      <c r="AB52" s="425" t="str">
        <f t="shared" ca="1" si="34"/>
        <v/>
      </c>
      <c r="AC52" s="315" t="str">
        <f t="shared" ca="1" si="34"/>
        <v/>
      </c>
      <c r="AD52" s="315" t="str">
        <f t="shared" ca="1" si="34"/>
        <v/>
      </c>
      <c r="AE52" s="315">
        <f t="shared" ca="1" si="34"/>
        <v>318300</v>
      </c>
      <c r="AF52" s="315" t="str">
        <f t="shared" ca="1" si="34"/>
        <v/>
      </c>
      <c r="AG52" s="315" t="str">
        <f t="shared" ref="AG52:AP57" ca="1" si="35">IFERROR(ROUND(AG$51*(1+$U$50)^$V52,-2),"")</f>
        <v/>
      </c>
      <c r="AH52" s="425" t="str">
        <f t="shared" ca="1" si="35"/>
        <v/>
      </c>
      <c r="AI52" s="315" t="str">
        <f t="shared" ca="1" si="35"/>
        <v/>
      </c>
      <c r="AJ52" s="315" t="str">
        <f t="shared" ca="1" si="35"/>
        <v/>
      </c>
      <c r="AK52" s="315">
        <f t="shared" ca="1" si="35"/>
        <v>463100</v>
      </c>
      <c r="AL52" s="315" t="str">
        <f t="shared" ca="1" si="35"/>
        <v/>
      </c>
      <c r="AM52" s="315" t="str">
        <f t="shared" ca="1" si="35"/>
        <v/>
      </c>
      <c r="AN52" s="425" t="str">
        <f t="shared" ca="1" si="35"/>
        <v/>
      </c>
      <c r="AO52" s="315" t="str">
        <f t="shared" ca="1" si="35"/>
        <v/>
      </c>
      <c r="AP52" s="315" t="str">
        <f t="shared" ca="1" si="35"/>
        <v/>
      </c>
      <c r="AQ52" s="315">
        <f t="shared" ref="AQ52:AZ57" ca="1" si="36">IFERROR(ROUND(AQ$51*(1+$U$50)^$V52,-2),"")</f>
        <v>602000</v>
      </c>
      <c r="AR52" s="315" t="str">
        <f t="shared" ca="1" si="36"/>
        <v/>
      </c>
      <c r="AS52" s="315" t="str">
        <f t="shared" ca="1" si="36"/>
        <v/>
      </c>
      <c r="AT52" s="425" t="str">
        <f t="shared" ca="1" si="36"/>
        <v/>
      </c>
      <c r="AU52" s="315" t="str">
        <f t="shared" ca="1" si="36"/>
        <v/>
      </c>
      <c r="AV52" s="315" t="str">
        <f t="shared" ca="1" si="36"/>
        <v/>
      </c>
      <c r="AW52" s="315" t="str">
        <f t="shared" ca="1" si="36"/>
        <v/>
      </c>
      <c r="AX52" s="315" t="str">
        <f t="shared" ca="1" si="36"/>
        <v/>
      </c>
      <c r="AY52" s="315" t="str">
        <f t="shared" ca="1" si="36"/>
        <v/>
      </c>
      <c r="AZ52" s="315" t="str">
        <f t="shared" ca="1" si="36"/>
        <v/>
      </c>
      <c r="BA52" s="114"/>
    </row>
    <row r="53" spans="2:53" ht="14.65" customHeight="1">
      <c r="E53" s="102" t="s">
        <v>354</v>
      </c>
      <c r="F53" s="655">
        <v>0.17</v>
      </c>
      <c r="G53" s="208" t="s">
        <v>355</v>
      </c>
      <c r="H53" s="209"/>
      <c r="I53" s="210">
        <f ca="1">SUM(I49:I52)*F53</f>
        <v>112274.8</v>
      </c>
      <c r="J53" s="211">
        <f ca="1">I53/$G$38</f>
        <v>9356.2333333333336</v>
      </c>
      <c r="K53" s="160"/>
      <c r="L53" s="12" t="s">
        <v>280</v>
      </c>
      <c r="M53" s="23">
        <f ca="1">IF(ISBLANK(OFFSET(M53,0,$P$41)),$N53,OFFSET(M53,0,$P$41))</f>
        <v>3.5000000000000003E-2</v>
      </c>
      <c r="N53" s="619">
        <v>3.5000000000000003E-2</v>
      </c>
      <c r="O53" s="619"/>
      <c r="P53" s="630"/>
      <c r="Q53" s="869"/>
      <c r="R53" s="869"/>
      <c r="S53" s="151"/>
      <c r="T53" s="282"/>
      <c r="U53"/>
      <c r="V53" s="326">
        <v>5</v>
      </c>
      <c r="W53" s="315" t="str">
        <f t="shared" ca="1" si="34"/>
        <v/>
      </c>
      <c r="X53" s="315" t="str">
        <f t="shared" ca="1" si="34"/>
        <v/>
      </c>
      <c r="Y53" s="315" t="str">
        <f t="shared" ca="1" si="34"/>
        <v/>
      </c>
      <c r="Z53" s="315" t="str">
        <f t="shared" ca="1" si="34"/>
        <v/>
      </c>
      <c r="AA53" s="315" t="str">
        <f t="shared" ca="1" si="34"/>
        <v/>
      </c>
      <c r="AB53" s="425" t="str">
        <f t="shared" ca="1" si="34"/>
        <v/>
      </c>
      <c r="AC53" s="315" t="str">
        <f t="shared" ca="1" si="34"/>
        <v/>
      </c>
      <c r="AD53" s="315" t="str">
        <f t="shared" ca="1" si="34"/>
        <v/>
      </c>
      <c r="AE53" s="315">
        <f t="shared" ca="1" si="34"/>
        <v>351000</v>
      </c>
      <c r="AF53" s="315" t="str">
        <f t="shared" ca="1" si="34"/>
        <v/>
      </c>
      <c r="AG53" s="315" t="str">
        <f t="shared" ca="1" si="35"/>
        <v/>
      </c>
      <c r="AH53" s="425" t="str">
        <f t="shared" ca="1" si="35"/>
        <v/>
      </c>
      <c r="AI53" s="315" t="str">
        <f t="shared" ca="1" si="35"/>
        <v/>
      </c>
      <c r="AJ53" s="315" t="str">
        <f t="shared" ca="1" si="35"/>
        <v/>
      </c>
      <c r="AK53" s="315">
        <f t="shared" ca="1" si="35"/>
        <v>510500</v>
      </c>
      <c r="AL53" s="315" t="str">
        <f t="shared" ca="1" si="35"/>
        <v/>
      </c>
      <c r="AM53" s="315" t="str">
        <f t="shared" ca="1" si="35"/>
        <v/>
      </c>
      <c r="AN53" s="425" t="str">
        <f t="shared" ca="1" si="35"/>
        <v/>
      </c>
      <c r="AO53" s="315" t="str">
        <f t="shared" ca="1" si="35"/>
        <v/>
      </c>
      <c r="AP53" s="315" t="str">
        <f t="shared" ca="1" si="35"/>
        <v/>
      </c>
      <c r="AQ53" s="315">
        <f t="shared" ca="1" si="36"/>
        <v>663700</v>
      </c>
      <c r="AR53" s="315" t="str">
        <f t="shared" ca="1" si="36"/>
        <v/>
      </c>
      <c r="AS53" s="315" t="str">
        <f t="shared" ca="1" si="36"/>
        <v/>
      </c>
      <c r="AT53" s="425" t="str">
        <f t="shared" ca="1" si="36"/>
        <v/>
      </c>
      <c r="AU53" s="315" t="str">
        <f t="shared" ca="1" si="36"/>
        <v/>
      </c>
      <c r="AV53" s="315" t="str">
        <f t="shared" ca="1" si="36"/>
        <v/>
      </c>
      <c r="AW53" s="315" t="str">
        <f t="shared" ca="1" si="36"/>
        <v/>
      </c>
      <c r="AX53" s="315" t="str">
        <f t="shared" ca="1" si="36"/>
        <v/>
      </c>
      <c r="AY53" s="315" t="str">
        <f t="shared" ca="1" si="36"/>
        <v/>
      </c>
      <c r="AZ53" s="315" t="str">
        <f t="shared" ca="1" si="36"/>
        <v/>
      </c>
      <c r="BA53" s="114"/>
    </row>
    <row r="54" spans="2:53" ht="32.65" customHeight="1">
      <c r="G54" s="54" t="s">
        <v>357</v>
      </c>
      <c r="H54" s="305"/>
      <c r="I54" s="306">
        <f ca="1">SUM(I49:I53)</f>
        <v>772714.8</v>
      </c>
      <c r="J54" s="307">
        <f ca="1">SUM(J49:J53)</f>
        <v>64392.899999999994</v>
      </c>
      <c r="K54" s="177"/>
      <c r="L54" s="12" t="s">
        <v>332</v>
      </c>
      <c r="M54" s="59">
        <f ca="1">IF(ISBLANK(OFFSET(M54,0,$P$41)),$N54,OFFSET(M54,0,$P$41))</f>
        <v>3</v>
      </c>
      <c r="N54" s="621">
        <v>3</v>
      </c>
      <c r="O54" s="622"/>
      <c r="P54" s="623"/>
      <c r="Q54" s="868"/>
      <c r="R54" s="868"/>
      <c r="S54" s="151"/>
      <c r="T54" s="282"/>
      <c r="U54"/>
      <c r="V54" s="326">
        <v>7</v>
      </c>
      <c r="W54" s="315" t="str">
        <f t="shared" ca="1" si="34"/>
        <v/>
      </c>
      <c r="X54" s="315" t="str">
        <f t="shared" ca="1" si="34"/>
        <v/>
      </c>
      <c r="Y54" s="315" t="str">
        <f t="shared" ca="1" si="34"/>
        <v/>
      </c>
      <c r="Z54" s="315" t="str">
        <f t="shared" ca="1" si="34"/>
        <v/>
      </c>
      <c r="AA54" s="315" t="str">
        <f t="shared" ca="1" si="34"/>
        <v/>
      </c>
      <c r="AB54" s="425" t="str">
        <f t="shared" ca="1" si="34"/>
        <v/>
      </c>
      <c r="AC54" s="315" t="str">
        <f t="shared" ca="1" si="34"/>
        <v/>
      </c>
      <c r="AD54" s="315" t="str">
        <f t="shared" ca="1" si="34"/>
        <v/>
      </c>
      <c r="AE54" s="315">
        <f t="shared" ca="1" si="34"/>
        <v>387000</v>
      </c>
      <c r="AF54" s="315" t="str">
        <f t="shared" ca="1" si="34"/>
        <v/>
      </c>
      <c r="AG54" s="315" t="str">
        <f t="shared" ca="1" si="35"/>
        <v/>
      </c>
      <c r="AH54" s="425" t="str">
        <f t="shared" ca="1" si="35"/>
        <v/>
      </c>
      <c r="AI54" s="315" t="str">
        <f t="shared" ca="1" si="35"/>
        <v/>
      </c>
      <c r="AJ54" s="315" t="str">
        <f t="shared" ca="1" si="35"/>
        <v/>
      </c>
      <c r="AK54" s="315">
        <f t="shared" ca="1" si="35"/>
        <v>562800</v>
      </c>
      <c r="AL54" s="315" t="str">
        <f t="shared" ca="1" si="35"/>
        <v/>
      </c>
      <c r="AM54" s="315" t="str">
        <f t="shared" ca="1" si="35"/>
        <v/>
      </c>
      <c r="AN54" s="425" t="str">
        <f t="shared" ca="1" si="35"/>
        <v/>
      </c>
      <c r="AO54" s="315" t="str">
        <f t="shared" ca="1" si="35"/>
        <v/>
      </c>
      <c r="AP54" s="315" t="str">
        <f t="shared" ca="1" si="35"/>
        <v/>
      </c>
      <c r="AQ54" s="315">
        <f t="shared" ca="1" si="36"/>
        <v>731700</v>
      </c>
      <c r="AR54" s="315" t="str">
        <f t="shared" ca="1" si="36"/>
        <v/>
      </c>
      <c r="AS54" s="315" t="str">
        <f t="shared" ca="1" si="36"/>
        <v/>
      </c>
      <c r="AT54" s="425" t="str">
        <f t="shared" ca="1" si="36"/>
        <v/>
      </c>
      <c r="AU54" s="315" t="str">
        <f t="shared" ca="1" si="36"/>
        <v/>
      </c>
      <c r="AV54" s="315" t="str">
        <f t="shared" ca="1" si="36"/>
        <v/>
      </c>
      <c r="AW54" s="315" t="str">
        <f t="shared" ca="1" si="36"/>
        <v/>
      </c>
      <c r="AX54" s="315" t="str">
        <f t="shared" ca="1" si="36"/>
        <v/>
      </c>
      <c r="AY54" s="315" t="str">
        <f t="shared" ca="1" si="36"/>
        <v/>
      </c>
      <c r="AZ54" s="315" t="str">
        <f t="shared" ca="1" si="36"/>
        <v/>
      </c>
      <c r="BA54" s="114"/>
    </row>
    <row r="55" spans="2:53" ht="15" thickBot="1">
      <c r="C55" s="402"/>
      <c r="G55" s="28"/>
      <c r="H55" s="79"/>
      <c r="I55" s="179"/>
      <c r="J55" s="159"/>
      <c r="K55" s="160"/>
      <c r="L55" s="396" t="s">
        <v>284</v>
      </c>
      <c r="M55" s="388">
        <f ca="1">IF(ISBLANK(OFFSET(M55,0,$P$41)),$N55,OFFSET(M55,0,$P$41))</f>
        <v>1.4999999999999999E-2</v>
      </c>
      <c r="N55" s="625">
        <v>1.4999999999999999E-2</v>
      </c>
      <c r="O55" s="625"/>
      <c r="P55" s="632"/>
      <c r="Q55" s="869"/>
      <c r="R55" s="869"/>
      <c r="S55" s="151"/>
      <c r="T55" s="282"/>
      <c r="U55"/>
      <c r="V55" s="326">
        <v>10</v>
      </c>
      <c r="W55" s="315" t="str">
        <f t="shared" ca="1" si="34"/>
        <v/>
      </c>
      <c r="X55" s="315" t="str">
        <f t="shared" ca="1" si="34"/>
        <v/>
      </c>
      <c r="Y55" s="315" t="str">
        <f t="shared" ca="1" si="34"/>
        <v/>
      </c>
      <c r="Z55" s="315" t="str">
        <f t="shared" ca="1" si="34"/>
        <v/>
      </c>
      <c r="AA55" s="315" t="str">
        <f t="shared" ca="1" si="34"/>
        <v/>
      </c>
      <c r="AB55" s="425" t="str">
        <f t="shared" ca="1" si="34"/>
        <v/>
      </c>
      <c r="AC55" s="315" t="str">
        <f t="shared" ca="1" si="34"/>
        <v/>
      </c>
      <c r="AD55" s="315" t="str">
        <f t="shared" ca="1" si="34"/>
        <v/>
      </c>
      <c r="AE55" s="315">
        <f t="shared" ca="1" si="34"/>
        <v>447900</v>
      </c>
      <c r="AF55" s="315" t="str">
        <f t="shared" ca="1" si="34"/>
        <v/>
      </c>
      <c r="AG55" s="315" t="str">
        <f t="shared" ca="1" si="35"/>
        <v/>
      </c>
      <c r="AH55" s="425" t="str">
        <f t="shared" ca="1" si="35"/>
        <v/>
      </c>
      <c r="AI55" s="315" t="str">
        <f t="shared" ca="1" si="35"/>
        <v/>
      </c>
      <c r="AJ55" s="315" t="str">
        <f t="shared" ca="1" si="35"/>
        <v/>
      </c>
      <c r="AK55" s="315">
        <f t="shared" ca="1" si="35"/>
        <v>651600</v>
      </c>
      <c r="AL55" s="315" t="str">
        <f t="shared" ca="1" si="35"/>
        <v/>
      </c>
      <c r="AM55" s="315" t="str">
        <f t="shared" ca="1" si="35"/>
        <v/>
      </c>
      <c r="AN55" s="425" t="str">
        <f t="shared" ca="1" si="35"/>
        <v/>
      </c>
      <c r="AO55" s="315" t="str">
        <f t="shared" ca="1" si="35"/>
        <v/>
      </c>
      <c r="AP55" s="315" t="str">
        <f t="shared" ca="1" si="35"/>
        <v/>
      </c>
      <c r="AQ55" s="315">
        <f t="shared" ca="1" si="36"/>
        <v>847000</v>
      </c>
      <c r="AR55" s="315" t="str">
        <f t="shared" ca="1" si="36"/>
        <v/>
      </c>
      <c r="AS55" s="315" t="str">
        <f t="shared" ca="1" si="36"/>
        <v/>
      </c>
      <c r="AT55" s="425" t="str">
        <f t="shared" ca="1" si="36"/>
        <v/>
      </c>
      <c r="AU55" s="315" t="str">
        <f t="shared" ca="1" si="36"/>
        <v/>
      </c>
      <c r="AV55" s="315" t="str">
        <f t="shared" ca="1" si="36"/>
        <v/>
      </c>
      <c r="AW55" s="315" t="str">
        <f t="shared" ca="1" si="36"/>
        <v/>
      </c>
      <c r="AX55" s="315" t="str">
        <f t="shared" ca="1" si="36"/>
        <v/>
      </c>
      <c r="AY55" s="315" t="str">
        <f t="shared" ca="1" si="36"/>
        <v/>
      </c>
      <c r="AZ55" s="315" t="str">
        <f t="shared" ca="1" si="36"/>
        <v/>
      </c>
      <c r="BA55" s="114"/>
    </row>
    <row r="56" spans="2:53" ht="14.45">
      <c r="G56" s="181" t="s">
        <v>238</v>
      </c>
      <c r="H56" s="176"/>
      <c r="I56" s="179"/>
      <c r="J56" s="159"/>
      <c r="K56" s="160"/>
      <c r="L56" s="28"/>
      <c r="M56" s="382"/>
      <c r="N56" s="49"/>
      <c r="O56" s="49"/>
      <c r="P56" s="395"/>
      <c r="Q56" s="49"/>
      <c r="R56" s="49"/>
      <c r="S56" s="151"/>
      <c r="T56" s="282"/>
      <c r="U56"/>
      <c r="V56" s="326">
        <v>15</v>
      </c>
      <c r="W56" s="315" t="str">
        <f t="shared" ca="1" si="34"/>
        <v/>
      </c>
      <c r="X56" s="315" t="str">
        <f t="shared" ca="1" si="34"/>
        <v/>
      </c>
      <c r="Y56" s="315" t="str">
        <f t="shared" ca="1" si="34"/>
        <v/>
      </c>
      <c r="Z56" s="315" t="str">
        <f t="shared" ca="1" si="34"/>
        <v/>
      </c>
      <c r="AA56" s="315" t="str">
        <f t="shared" ca="1" si="34"/>
        <v/>
      </c>
      <c r="AB56" s="425" t="str">
        <f t="shared" ca="1" si="34"/>
        <v/>
      </c>
      <c r="AC56" s="315" t="str">
        <f t="shared" ca="1" si="34"/>
        <v/>
      </c>
      <c r="AD56" s="315" t="str">
        <f t="shared" ca="1" si="34"/>
        <v/>
      </c>
      <c r="AE56" s="315">
        <f t="shared" ca="1" si="34"/>
        <v>571700</v>
      </c>
      <c r="AF56" s="315" t="str">
        <f t="shared" ca="1" si="34"/>
        <v/>
      </c>
      <c r="AG56" s="315" t="str">
        <f t="shared" ca="1" si="35"/>
        <v/>
      </c>
      <c r="AH56" s="425" t="str">
        <f t="shared" ca="1" si="35"/>
        <v/>
      </c>
      <c r="AI56" s="315" t="str">
        <f t="shared" ca="1" si="35"/>
        <v/>
      </c>
      <c r="AJ56" s="315" t="str">
        <f t="shared" ca="1" si="35"/>
        <v/>
      </c>
      <c r="AK56" s="315">
        <f t="shared" ca="1" si="35"/>
        <v>831600</v>
      </c>
      <c r="AL56" s="315" t="str">
        <f t="shared" ca="1" si="35"/>
        <v/>
      </c>
      <c r="AM56" s="315" t="str">
        <f t="shared" ca="1" si="35"/>
        <v/>
      </c>
      <c r="AN56" s="425" t="str">
        <f t="shared" ca="1" si="35"/>
        <v/>
      </c>
      <c r="AO56" s="315" t="str">
        <f t="shared" ca="1" si="35"/>
        <v/>
      </c>
      <c r="AP56" s="315" t="str">
        <f t="shared" ca="1" si="35"/>
        <v/>
      </c>
      <c r="AQ56" s="315">
        <f t="shared" ca="1" si="36"/>
        <v>1081000</v>
      </c>
      <c r="AR56" s="315" t="str">
        <f t="shared" ca="1" si="36"/>
        <v/>
      </c>
      <c r="AS56" s="315" t="str">
        <f t="shared" ca="1" si="36"/>
        <v/>
      </c>
      <c r="AT56" s="425" t="str">
        <f t="shared" ca="1" si="36"/>
        <v/>
      </c>
      <c r="AU56" s="315" t="str">
        <f t="shared" ca="1" si="36"/>
        <v/>
      </c>
      <c r="AV56" s="315" t="str">
        <f t="shared" ca="1" si="36"/>
        <v/>
      </c>
      <c r="AW56" s="315" t="str">
        <f t="shared" ca="1" si="36"/>
        <v/>
      </c>
      <c r="AX56" s="315" t="str">
        <f t="shared" ca="1" si="36"/>
        <v/>
      </c>
      <c r="AY56" s="315" t="str">
        <f t="shared" ca="1" si="36"/>
        <v/>
      </c>
      <c r="AZ56" s="315" t="str">
        <f t="shared" ca="1" si="36"/>
        <v/>
      </c>
      <c r="BA56" s="114"/>
    </row>
    <row r="57" spans="2:53" ht="14.45">
      <c r="G57" s="28" t="s">
        <v>360</v>
      </c>
      <c r="H57" s="176"/>
      <c r="I57" s="179"/>
      <c r="J57" s="159"/>
      <c r="K57" s="160"/>
      <c r="L57" s="396" t="s">
        <v>426</v>
      </c>
      <c r="M57" s="383">
        <f ca="1">(C21+M52)/I86</f>
        <v>0.76968249767849006</v>
      </c>
      <c r="N57" s="384"/>
      <c r="O57" s="384"/>
      <c r="P57" s="385"/>
      <c r="Q57" s="49"/>
      <c r="R57" s="49"/>
      <c r="S57" s="151"/>
      <c r="T57" s="282"/>
      <c r="U57"/>
      <c r="V57" s="326">
        <v>20</v>
      </c>
      <c r="W57" s="315" t="str">
        <f t="shared" ca="1" si="34"/>
        <v/>
      </c>
      <c r="X57" s="315" t="str">
        <f t="shared" ca="1" si="34"/>
        <v/>
      </c>
      <c r="Y57" s="315" t="str">
        <f t="shared" ca="1" si="34"/>
        <v/>
      </c>
      <c r="Z57" s="315" t="str">
        <f t="shared" ca="1" si="34"/>
        <v/>
      </c>
      <c r="AA57" s="315" t="str">
        <f t="shared" ca="1" si="34"/>
        <v/>
      </c>
      <c r="AB57" s="425" t="str">
        <f t="shared" ca="1" si="34"/>
        <v/>
      </c>
      <c r="AC57" s="315" t="str">
        <f t="shared" ca="1" si="34"/>
        <v/>
      </c>
      <c r="AD57" s="315" t="str">
        <f t="shared" ca="1" si="34"/>
        <v/>
      </c>
      <c r="AE57" s="315">
        <f t="shared" ca="1" si="34"/>
        <v>729700</v>
      </c>
      <c r="AF57" s="315" t="str">
        <f t="shared" ca="1" si="34"/>
        <v/>
      </c>
      <c r="AG57" s="315" t="str">
        <f t="shared" ca="1" si="35"/>
        <v/>
      </c>
      <c r="AH57" s="425" t="str">
        <f t="shared" ca="1" si="35"/>
        <v/>
      </c>
      <c r="AI57" s="315" t="str">
        <f t="shared" ca="1" si="35"/>
        <v/>
      </c>
      <c r="AJ57" s="315" t="str">
        <f t="shared" ca="1" si="35"/>
        <v/>
      </c>
      <c r="AK57" s="315">
        <f t="shared" ca="1" si="35"/>
        <v>1061300</v>
      </c>
      <c r="AL57" s="315" t="str">
        <f t="shared" ca="1" si="35"/>
        <v/>
      </c>
      <c r="AM57" s="315" t="str">
        <f t="shared" ca="1" si="35"/>
        <v/>
      </c>
      <c r="AN57" s="425" t="str">
        <f t="shared" ca="1" si="35"/>
        <v/>
      </c>
      <c r="AO57" s="315" t="str">
        <f t="shared" ca="1" si="35"/>
        <v/>
      </c>
      <c r="AP57" s="315" t="str">
        <f t="shared" ca="1" si="35"/>
        <v/>
      </c>
      <c r="AQ57" s="315">
        <f t="shared" ca="1" si="36"/>
        <v>1379700</v>
      </c>
      <c r="AR57" s="315" t="str">
        <f t="shared" ca="1" si="36"/>
        <v/>
      </c>
      <c r="AS57" s="315" t="str">
        <f t="shared" ca="1" si="36"/>
        <v/>
      </c>
      <c r="AT57" s="425" t="str">
        <f t="shared" ca="1" si="36"/>
        <v/>
      </c>
      <c r="AU57" s="315" t="str">
        <f t="shared" ca="1" si="36"/>
        <v/>
      </c>
      <c r="AV57" s="315" t="str">
        <f t="shared" ca="1" si="36"/>
        <v/>
      </c>
      <c r="AW57" s="315" t="str">
        <f t="shared" ca="1" si="36"/>
        <v/>
      </c>
      <c r="AX57" s="315" t="str">
        <f t="shared" ca="1" si="36"/>
        <v/>
      </c>
      <c r="AY57" s="315" t="str">
        <f t="shared" ca="1" si="36"/>
        <v/>
      </c>
      <c r="AZ57" s="315" t="str">
        <f t="shared" ca="1" si="36"/>
        <v/>
      </c>
      <c r="BA57" s="114"/>
    </row>
    <row r="58" spans="2:53" ht="14.45">
      <c r="G58" s="437" t="s">
        <v>363</v>
      </c>
      <c r="H58" s="79"/>
      <c r="I58" s="603">
        <v>6000</v>
      </c>
      <c r="J58" s="159">
        <f ca="1">I58/$G$38</f>
        <v>500</v>
      </c>
      <c r="K58" s="160"/>
      <c r="L58" s="175"/>
      <c r="M58" s="176"/>
      <c r="N58" s="182"/>
      <c r="O58" s="182"/>
      <c r="P58" s="25"/>
      <c r="Q58" s="182"/>
      <c r="R58" s="182"/>
      <c r="S58" s="10"/>
      <c r="T58" s="282"/>
      <c r="U58"/>
      <c r="V58" s="255"/>
      <c r="W58" s="312"/>
      <c r="X58" s="312"/>
      <c r="Y58" s="312"/>
      <c r="Z58" s="312"/>
      <c r="AA58" s="312"/>
      <c r="AB58" s="432"/>
      <c r="AC58" s="312"/>
      <c r="AD58" s="312"/>
      <c r="AE58" s="312"/>
      <c r="AF58" s="312"/>
      <c r="AG58" s="312"/>
      <c r="AH58" s="432"/>
      <c r="AI58" s="312"/>
      <c r="AJ58" s="312"/>
      <c r="AK58" s="312"/>
      <c r="AL58" s="312"/>
      <c r="AM58" s="312"/>
      <c r="AN58" s="432"/>
      <c r="AO58" s="312"/>
      <c r="AP58" s="312"/>
      <c r="AQ58" s="312"/>
      <c r="AR58" s="312"/>
      <c r="AS58" s="312"/>
      <c r="AT58" s="432"/>
      <c r="AU58" s="312"/>
      <c r="AV58" s="312"/>
      <c r="AW58" s="312"/>
      <c r="AX58" s="312"/>
      <c r="AY58" s="312"/>
      <c r="AZ58" s="312"/>
      <c r="BA58" s="114"/>
    </row>
    <row r="59" spans="2:53" ht="14.65" customHeight="1" thickBot="1">
      <c r="G59" s="437" t="s">
        <v>366</v>
      </c>
      <c r="H59" s="79"/>
      <c r="I59" s="603">
        <v>35000</v>
      </c>
      <c r="J59" s="159">
        <f ca="1">I59/$G$38</f>
        <v>2916.6666666666665</v>
      </c>
      <c r="K59" s="160"/>
      <c r="L59" s="91"/>
      <c r="M59" s="205"/>
      <c r="N59" s="55"/>
      <c r="O59" s="55"/>
      <c r="P59" s="206"/>
      <c r="Q59" s="200"/>
      <c r="R59" s="200"/>
      <c r="S59" s="10"/>
      <c r="T59" s="273"/>
      <c r="U59"/>
      <c r="V59" s="270"/>
      <c r="AB59" s="429"/>
      <c r="AH59" s="429"/>
      <c r="AN59" s="429"/>
      <c r="AT59" s="429"/>
      <c r="BA59" s="114"/>
    </row>
    <row r="60" spans="2:53" ht="22.15" customHeight="1">
      <c r="G60" s="437" t="s">
        <v>369</v>
      </c>
      <c r="H60" s="79"/>
      <c r="I60" s="605">
        <v>0</v>
      </c>
      <c r="J60" s="304">
        <f ca="1">I60/$G$38</f>
        <v>0</v>
      </c>
      <c r="K60" s="160"/>
      <c r="L60" s="54" t="s">
        <v>428</v>
      </c>
      <c r="M60" s="163"/>
      <c r="N60" s="189"/>
      <c r="O60" s="189"/>
      <c r="P60" s="190"/>
      <c r="Q60" s="313"/>
      <c r="R60" s="313"/>
      <c r="S60" s="10"/>
      <c r="T60" s="360"/>
      <c r="U60" s="364" t="s">
        <v>531</v>
      </c>
      <c r="V60" s="361"/>
      <c r="W60" s="363"/>
      <c r="X60" s="363"/>
      <c r="Y60" s="363"/>
      <c r="Z60" s="363"/>
      <c r="AA60" s="363"/>
      <c r="AB60" s="433"/>
      <c r="AC60" s="363"/>
      <c r="AD60" s="363"/>
      <c r="AE60" s="363"/>
      <c r="AF60" s="363"/>
      <c r="AG60" s="363"/>
      <c r="AH60" s="433"/>
      <c r="AI60" s="363"/>
      <c r="AJ60" s="363"/>
      <c r="AK60" s="363"/>
      <c r="AL60" s="363"/>
      <c r="AM60" s="363"/>
      <c r="AN60" s="433"/>
      <c r="AO60" s="363"/>
      <c r="AP60" s="363"/>
      <c r="AQ60" s="363"/>
      <c r="AR60" s="363"/>
      <c r="AS60" s="363"/>
      <c r="AT60" s="433"/>
      <c r="AU60" s="363"/>
      <c r="AV60" s="363"/>
      <c r="AW60" s="363"/>
      <c r="AX60" s="363"/>
      <c r="AY60" s="363"/>
      <c r="AZ60" s="363"/>
      <c r="BA60" s="362"/>
    </row>
    <row r="61" spans="2:53" ht="14.65" customHeight="1">
      <c r="G61" s="437"/>
      <c r="H61" s="79"/>
      <c r="I61" s="179"/>
      <c r="J61" s="159"/>
      <c r="K61" s="177"/>
      <c r="L61" s="84" t="s">
        <v>429</v>
      </c>
      <c r="M61" s="24">
        <f ca="1">IF(ISBLANK(OFFSET(M61,0,$P$41)),$N61,OFFSET(M61,0,$P$41))</f>
        <v>0</v>
      </c>
      <c r="N61" s="636">
        <v>0</v>
      </c>
      <c r="O61" s="609"/>
      <c r="P61" s="637"/>
      <c r="Q61" s="870"/>
      <c r="R61" s="870"/>
      <c r="S61" s="221"/>
      <c r="T61" s="282"/>
      <c r="U61"/>
      <c r="V61" s="321" t="s">
        <v>532</v>
      </c>
      <c r="AB61" s="429"/>
      <c r="AH61" s="429"/>
      <c r="AN61" s="429"/>
      <c r="AT61" s="429"/>
      <c r="BA61" s="114"/>
    </row>
    <row r="62" spans="2:53" ht="15.6">
      <c r="E62" s="102"/>
      <c r="F62" s="281"/>
      <c r="G62" s="28" t="s">
        <v>373</v>
      </c>
      <c r="H62" s="79"/>
      <c r="I62" s="439"/>
      <c r="J62" s="159"/>
      <c r="K62" s="160"/>
      <c r="L62" s="84" t="s">
        <v>430</v>
      </c>
      <c r="M62" s="22">
        <f ca="1">IF(ISBLANK(OFFSET(M62,0,$P$41)),$N62,OFFSET(M62,0,$P$41))</f>
        <v>0</v>
      </c>
      <c r="N62" s="638">
        <v>0</v>
      </c>
      <c r="O62" s="608"/>
      <c r="P62" s="639"/>
      <c r="Q62" s="866"/>
      <c r="R62" s="866"/>
      <c r="S62" s="221"/>
      <c r="T62" s="282"/>
      <c r="U62" s="688">
        <v>0.02</v>
      </c>
      <c r="V62" s="323" t="s">
        <v>529</v>
      </c>
      <c r="W62" s="85" t="str">
        <f t="shared" ref="W62:AZ62" ca="1" si="37">W26</f>
        <v/>
      </c>
      <c r="X62" s="85" t="str">
        <f t="shared" ca="1" si="37"/>
        <v/>
      </c>
      <c r="Y62" s="85" t="str">
        <f t="shared" ca="1" si="37"/>
        <v/>
      </c>
      <c r="Z62" s="85" t="str">
        <f t="shared" ca="1" si="37"/>
        <v/>
      </c>
      <c r="AA62" s="85" t="str">
        <f t="shared" ca="1" si="37"/>
        <v/>
      </c>
      <c r="AB62" s="434" t="str">
        <f t="shared" ca="1" si="37"/>
        <v/>
      </c>
      <c r="AC62" s="85" t="str">
        <f t="shared" ca="1" si="37"/>
        <v/>
      </c>
      <c r="AD62" s="85" t="str">
        <f t="shared" ca="1" si="37"/>
        <v/>
      </c>
      <c r="AE62" s="85">
        <f t="shared" ca="1" si="37"/>
        <v>358697.78274057916</v>
      </c>
      <c r="AF62" s="85" t="str">
        <f t="shared" ca="1" si="37"/>
        <v/>
      </c>
      <c r="AG62" s="85" t="str">
        <f t="shared" ca="1" si="37"/>
        <v/>
      </c>
      <c r="AH62" s="434" t="str">
        <f t="shared" ca="1" si="37"/>
        <v/>
      </c>
      <c r="AI62" s="85" t="str">
        <f t="shared" ca="1" si="37"/>
        <v/>
      </c>
      <c r="AJ62" s="85" t="str">
        <f t="shared" ca="1" si="37"/>
        <v/>
      </c>
      <c r="AK62" s="85">
        <f t="shared" ca="1" si="37"/>
        <v>368849.47468133224</v>
      </c>
      <c r="AL62" s="85" t="str">
        <f t="shared" ca="1" si="37"/>
        <v/>
      </c>
      <c r="AM62" s="85" t="str">
        <f t="shared" ca="1" si="37"/>
        <v/>
      </c>
      <c r="AN62" s="434" t="str">
        <f t="shared" ca="1" si="37"/>
        <v/>
      </c>
      <c r="AO62" s="85" t="str">
        <f t="shared" ca="1" si="37"/>
        <v/>
      </c>
      <c r="AP62" s="85" t="str">
        <f t="shared" ca="1" si="37"/>
        <v/>
      </c>
      <c r="AQ62" s="85">
        <f t="shared" ca="1" si="37"/>
        <v>380851.47500537534</v>
      </c>
      <c r="AR62" s="85" t="str">
        <f t="shared" ca="1" si="37"/>
        <v/>
      </c>
      <c r="AS62" s="85" t="str">
        <f t="shared" ca="1" si="37"/>
        <v/>
      </c>
      <c r="AT62" s="434" t="str">
        <f t="shared" ca="1" si="37"/>
        <v/>
      </c>
      <c r="AU62" s="85" t="str">
        <f t="shared" ca="1" si="37"/>
        <v/>
      </c>
      <c r="AV62" s="85" t="str">
        <f t="shared" ca="1" si="37"/>
        <v/>
      </c>
      <c r="AW62" s="85" t="str">
        <f t="shared" ca="1" si="37"/>
        <v/>
      </c>
      <c r="AX62" s="85" t="str">
        <f t="shared" ca="1" si="37"/>
        <v/>
      </c>
      <c r="AY62" s="85" t="str">
        <f t="shared" ca="1" si="37"/>
        <v/>
      </c>
      <c r="AZ62" s="85" t="str">
        <f t="shared" ca="1" si="37"/>
        <v/>
      </c>
      <c r="BA62" s="114"/>
    </row>
    <row r="63" spans="2:53" ht="16.149999999999999" thickBot="1">
      <c r="E63" s="102"/>
      <c r="F63" s="281"/>
      <c r="G63" s="437" t="s">
        <v>376</v>
      </c>
      <c r="H63" s="79"/>
      <c r="I63" s="603">
        <v>0</v>
      </c>
      <c r="J63" s="159">
        <f ca="1">I63/$G$38</f>
        <v>0</v>
      </c>
      <c r="K63" s="160"/>
      <c r="L63" s="62" t="s">
        <v>432</v>
      </c>
      <c r="M63" s="393">
        <f ca="1">IF(ISBLANK(OFFSET(M63,0,$P$41)),$N63,OFFSET(M63,0,$P$41))</f>
        <v>0</v>
      </c>
      <c r="N63" s="640">
        <v>0</v>
      </c>
      <c r="O63" s="641"/>
      <c r="P63" s="642"/>
      <c r="Q63" s="871"/>
      <c r="R63" s="871"/>
      <c r="S63" s="151"/>
      <c r="T63" s="282"/>
      <c r="U63"/>
      <c r="V63" s="326">
        <v>3</v>
      </c>
      <c r="W63" s="132" t="str">
        <f t="shared" ref="W63:W68" ca="1" si="38">IFERROR(ROUND(W$62*(1+$U$62)^$V63,-2),"")</f>
        <v/>
      </c>
      <c r="X63" s="132" t="str">
        <f t="shared" ref="X63:AZ68" ca="1" si="39">IFERROR(ROUND(X$62*(1+$U$62)^$V63,-2),"")</f>
        <v/>
      </c>
      <c r="Y63" s="132" t="str">
        <f t="shared" ca="1" si="39"/>
        <v/>
      </c>
      <c r="Z63" s="132" t="str">
        <f t="shared" ca="1" si="39"/>
        <v/>
      </c>
      <c r="AA63" s="132" t="str">
        <f t="shared" ca="1" si="39"/>
        <v/>
      </c>
      <c r="AB63" s="431" t="str">
        <f t="shared" ca="1" si="39"/>
        <v/>
      </c>
      <c r="AC63" s="132" t="str">
        <f t="shared" ca="1" si="39"/>
        <v/>
      </c>
      <c r="AD63" s="132" t="str">
        <f t="shared" ca="1" si="39"/>
        <v/>
      </c>
      <c r="AE63" s="132">
        <f t="shared" ca="1" si="39"/>
        <v>380700</v>
      </c>
      <c r="AF63" s="132" t="str">
        <f t="shared" ca="1" si="39"/>
        <v/>
      </c>
      <c r="AG63" s="132" t="str">
        <f t="shared" ca="1" si="39"/>
        <v/>
      </c>
      <c r="AH63" s="431" t="str">
        <f t="shared" ca="1" si="39"/>
        <v/>
      </c>
      <c r="AI63" s="132" t="str">
        <f t="shared" ca="1" si="39"/>
        <v/>
      </c>
      <c r="AJ63" s="132" t="str">
        <f t="shared" ca="1" si="39"/>
        <v/>
      </c>
      <c r="AK63" s="132">
        <f t="shared" ca="1" si="39"/>
        <v>391400</v>
      </c>
      <c r="AL63" s="132" t="str">
        <f t="shared" ca="1" si="39"/>
        <v/>
      </c>
      <c r="AM63" s="132" t="str">
        <f t="shared" ca="1" si="39"/>
        <v/>
      </c>
      <c r="AN63" s="431" t="str">
        <f t="shared" ca="1" si="39"/>
        <v/>
      </c>
      <c r="AO63" s="132" t="str">
        <f t="shared" ca="1" si="39"/>
        <v/>
      </c>
      <c r="AP63" s="132" t="str">
        <f t="shared" ca="1" si="39"/>
        <v/>
      </c>
      <c r="AQ63" s="132">
        <f t="shared" ca="1" si="39"/>
        <v>404200</v>
      </c>
      <c r="AR63" s="132" t="str">
        <f t="shared" ca="1" si="39"/>
        <v/>
      </c>
      <c r="AS63" s="132" t="str">
        <f t="shared" ca="1" si="39"/>
        <v/>
      </c>
      <c r="AT63" s="431" t="str">
        <f t="shared" ca="1" si="39"/>
        <v/>
      </c>
      <c r="AU63" s="132" t="str">
        <f t="shared" ca="1" si="39"/>
        <v/>
      </c>
      <c r="AV63" s="132" t="str">
        <f t="shared" ca="1" si="39"/>
        <v/>
      </c>
      <c r="AW63" s="132" t="str">
        <f t="shared" ca="1" si="39"/>
        <v/>
      </c>
      <c r="AX63" s="132" t="str">
        <f t="shared" ca="1" si="39"/>
        <v/>
      </c>
      <c r="AY63" s="132" t="str">
        <f t="shared" ca="1" si="39"/>
        <v/>
      </c>
      <c r="AZ63" s="132" t="str">
        <f t="shared" ca="1" si="39"/>
        <v/>
      </c>
      <c r="BA63" s="114"/>
    </row>
    <row r="64" spans="2:53" ht="14.45">
      <c r="G64" s="437" t="s">
        <v>379</v>
      </c>
      <c r="H64" s="79"/>
      <c r="I64" s="603">
        <v>10000</v>
      </c>
      <c r="J64" s="159">
        <f ca="1">I64/$G$38</f>
        <v>833.33333333333337</v>
      </c>
      <c r="K64" s="160"/>
      <c r="L64" s="94"/>
      <c r="M64" s="214"/>
      <c r="N64" s="55"/>
      <c r="O64" s="166"/>
      <c r="P64" s="215"/>
      <c r="Q64" s="166"/>
      <c r="R64" s="166"/>
      <c r="S64" s="221"/>
      <c r="T64" s="282"/>
      <c r="U64"/>
      <c r="V64" s="326">
        <v>5</v>
      </c>
      <c r="W64" s="132" t="str">
        <f t="shared" ca="1" si="38"/>
        <v/>
      </c>
      <c r="X64" s="132" t="str">
        <f t="shared" ca="1" si="39"/>
        <v/>
      </c>
      <c r="Y64" s="132" t="str">
        <f t="shared" ca="1" si="39"/>
        <v/>
      </c>
      <c r="Z64" s="132" t="str">
        <f t="shared" ca="1" si="39"/>
        <v/>
      </c>
      <c r="AA64" s="132" t="str">
        <f t="shared" ca="1" si="39"/>
        <v/>
      </c>
      <c r="AB64" s="431" t="str">
        <f t="shared" ca="1" si="39"/>
        <v/>
      </c>
      <c r="AC64" s="132" t="str">
        <f t="shared" ca="1" si="39"/>
        <v/>
      </c>
      <c r="AD64" s="132" t="str">
        <f t="shared" ca="1" si="39"/>
        <v/>
      </c>
      <c r="AE64" s="132">
        <f t="shared" ca="1" si="39"/>
        <v>396000</v>
      </c>
      <c r="AF64" s="132" t="str">
        <f t="shared" ca="1" si="39"/>
        <v/>
      </c>
      <c r="AG64" s="132" t="str">
        <f t="shared" ca="1" si="39"/>
        <v/>
      </c>
      <c r="AH64" s="431" t="str">
        <f t="shared" ca="1" si="39"/>
        <v/>
      </c>
      <c r="AI64" s="132" t="str">
        <f t="shared" ca="1" si="39"/>
        <v/>
      </c>
      <c r="AJ64" s="132" t="str">
        <f t="shared" ca="1" si="39"/>
        <v/>
      </c>
      <c r="AK64" s="132">
        <f t="shared" ca="1" si="39"/>
        <v>407200</v>
      </c>
      <c r="AL64" s="132" t="str">
        <f t="shared" ca="1" si="39"/>
        <v/>
      </c>
      <c r="AM64" s="132" t="str">
        <f t="shared" ca="1" si="39"/>
        <v/>
      </c>
      <c r="AN64" s="431" t="str">
        <f t="shared" ca="1" si="39"/>
        <v/>
      </c>
      <c r="AO64" s="132" t="str">
        <f t="shared" ca="1" si="39"/>
        <v/>
      </c>
      <c r="AP64" s="132" t="str">
        <f t="shared" ca="1" si="39"/>
        <v/>
      </c>
      <c r="AQ64" s="132">
        <f t="shared" ca="1" si="39"/>
        <v>420500</v>
      </c>
      <c r="AR64" s="132" t="str">
        <f t="shared" ca="1" si="39"/>
        <v/>
      </c>
      <c r="AS64" s="132" t="str">
        <f t="shared" ca="1" si="39"/>
        <v/>
      </c>
      <c r="AT64" s="431" t="str">
        <f t="shared" ca="1" si="39"/>
        <v/>
      </c>
      <c r="AU64" s="132" t="str">
        <f t="shared" ca="1" si="39"/>
        <v/>
      </c>
      <c r="AV64" s="132" t="str">
        <f t="shared" ca="1" si="39"/>
        <v/>
      </c>
      <c r="AW64" s="132" t="str">
        <f t="shared" ca="1" si="39"/>
        <v/>
      </c>
      <c r="AX64" s="132" t="str">
        <f t="shared" ca="1" si="39"/>
        <v/>
      </c>
      <c r="AY64" s="132" t="str">
        <f t="shared" ca="1" si="39"/>
        <v/>
      </c>
      <c r="AZ64" s="132" t="str">
        <f t="shared" ca="1" si="39"/>
        <v/>
      </c>
      <c r="BA64" s="114"/>
    </row>
    <row r="65" spans="3:53" ht="15" thickBot="1">
      <c r="G65" s="437" t="s">
        <v>383</v>
      </c>
      <c r="H65" s="79"/>
      <c r="I65" s="603">
        <v>15000</v>
      </c>
      <c r="J65" s="159">
        <f ca="1">I65/$G$38</f>
        <v>1250</v>
      </c>
      <c r="K65" s="160"/>
      <c r="L65" s="91"/>
      <c r="M65" s="205"/>
      <c r="N65" s="55"/>
      <c r="O65" s="166"/>
      <c r="P65" s="215"/>
      <c r="Q65" s="166"/>
      <c r="R65" s="166"/>
      <c r="S65" s="151"/>
      <c r="T65" s="282"/>
      <c r="U65"/>
      <c r="V65" s="326">
        <v>7</v>
      </c>
      <c r="W65" s="132" t="str">
        <f t="shared" ca="1" si="38"/>
        <v/>
      </c>
      <c r="X65" s="132" t="str">
        <f t="shared" ca="1" si="39"/>
        <v/>
      </c>
      <c r="Y65" s="132" t="str">
        <f t="shared" ca="1" si="39"/>
        <v/>
      </c>
      <c r="Z65" s="132" t="str">
        <f t="shared" ca="1" si="39"/>
        <v/>
      </c>
      <c r="AA65" s="132" t="str">
        <f t="shared" ca="1" si="39"/>
        <v/>
      </c>
      <c r="AB65" s="431" t="str">
        <f t="shared" ca="1" si="39"/>
        <v/>
      </c>
      <c r="AC65" s="132" t="str">
        <f t="shared" ca="1" si="39"/>
        <v/>
      </c>
      <c r="AD65" s="132" t="str">
        <f t="shared" ca="1" si="39"/>
        <v/>
      </c>
      <c r="AE65" s="132">
        <f t="shared" ca="1" si="39"/>
        <v>412000</v>
      </c>
      <c r="AF65" s="132" t="str">
        <f t="shared" ca="1" si="39"/>
        <v/>
      </c>
      <c r="AG65" s="132" t="str">
        <f t="shared" ca="1" si="39"/>
        <v/>
      </c>
      <c r="AH65" s="431" t="str">
        <f t="shared" ca="1" si="39"/>
        <v/>
      </c>
      <c r="AI65" s="132" t="str">
        <f t="shared" ca="1" si="39"/>
        <v/>
      </c>
      <c r="AJ65" s="132" t="str">
        <f t="shared" ca="1" si="39"/>
        <v/>
      </c>
      <c r="AK65" s="132">
        <f t="shared" ca="1" si="39"/>
        <v>423700</v>
      </c>
      <c r="AL65" s="132" t="str">
        <f t="shared" ca="1" si="39"/>
        <v/>
      </c>
      <c r="AM65" s="132" t="str">
        <f t="shared" ca="1" si="39"/>
        <v/>
      </c>
      <c r="AN65" s="431" t="str">
        <f t="shared" ca="1" si="39"/>
        <v/>
      </c>
      <c r="AO65" s="132" t="str">
        <f t="shared" ca="1" si="39"/>
        <v/>
      </c>
      <c r="AP65" s="132" t="str">
        <f t="shared" ca="1" si="39"/>
        <v/>
      </c>
      <c r="AQ65" s="132">
        <f t="shared" ca="1" si="39"/>
        <v>437500</v>
      </c>
      <c r="AR65" s="132" t="str">
        <f t="shared" ca="1" si="39"/>
        <v/>
      </c>
      <c r="AS65" s="132" t="str">
        <f t="shared" ca="1" si="39"/>
        <v/>
      </c>
      <c r="AT65" s="431" t="str">
        <f t="shared" ca="1" si="39"/>
        <v/>
      </c>
      <c r="AU65" s="132" t="str">
        <f t="shared" ca="1" si="39"/>
        <v/>
      </c>
      <c r="AV65" s="132" t="str">
        <f t="shared" ca="1" si="39"/>
        <v/>
      </c>
      <c r="AW65" s="132" t="str">
        <f t="shared" ca="1" si="39"/>
        <v/>
      </c>
      <c r="AX65" s="132" t="str">
        <f t="shared" ca="1" si="39"/>
        <v/>
      </c>
      <c r="AY65" s="132" t="str">
        <f t="shared" ca="1" si="39"/>
        <v/>
      </c>
      <c r="AZ65" s="132" t="str">
        <f t="shared" ca="1" si="39"/>
        <v/>
      </c>
      <c r="BA65" s="114"/>
    </row>
    <row r="66" spans="3:53" ht="14.45">
      <c r="G66" s="437" t="s">
        <v>386</v>
      </c>
      <c r="H66" s="79"/>
      <c r="I66" s="605">
        <v>0</v>
      </c>
      <c r="J66" s="304">
        <f ca="1">I66/$G$38</f>
        <v>0</v>
      </c>
      <c r="K66" s="160"/>
      <c r="L66" s="54" t="s">
        <v>433</v>
      </c>
      <c r="M66" s="163"/>
      <c r="N66" s="189"/>
      <c r="O66" s="189"/>
      <c r="P66" s="190"/>
      <c r="Q66" s="313"/>
      <c r="R66" s="313"/>
      <c r="S66" s="151"/>
      <c r="T66" s="282"/>
      <c r="U66"/>
      <c r="V66" s="326">
        <v>10</v>
      </c>
      <c r="W66" s="132" t="str">
        <f t="shared" ca="1" si="38"/>
        <v/>
      </c>
      <c r="X66" s="132" t="str">
        <f t="shared" ca="1" si="39"/>
        <v/>
      </c>
      <c r="Y66" s="132" t="str">
        <f t="shared" ca="1" si="39"/>
        <v/>
      </c>
      <c r="Z66" s="132" t="str">
        <f t="shared" ca="1" si="39"/>
        <v/>
      </c>
      <c r="AA66" s="132" t="str">
        <f t="shared" ca="1" si="39"/>
        <v/>
      </c>
      <c r="AB66" s="431" t="str">
        <f t="shared" ca="1" si="39"/>
        <v/>
      </c>
      <c r="AC66" s="132" t="str">
        <f t="shared" ca="1" si="39"/>
        <v/>
      </c>
      <c r="AD66" s="132" t="str">
        <f t="shared" ca="1" si="39"/>
        <v/>
      </c>
      <c r="AE66" s="132">
        <f t="shared" ca="1" si="39"/>
        <v>437300</v>
      </c>
      <c r="AF66" s="132" t="str">
        <f t="shared" ca="1" si="39"/>
        <v/>
      </c>
      <c r="AG66" s="132" t="str">
        <f t="shared" ca="1" si="39"/>
        <v/>
      </c>
      <c r="AH66" s="431" t="str">
        <f t="shared" ca="1" si="39"/>
        <v/>
      </c>
      <c r="AI66" s="132" t="str">
        <f t="shared" ca="1" si="39"/>
        <v/>
      </c>
      <c r="AJ66" s="132" t="str">
        <f t="shared" ca="1" si="39"/>
        <v/>
      </c>
      <c r="AK66" s="132">
        <f t="shared" ca="1" si="39"/>
        <v>449600</v>
      </c>
      <c r="AL66" s="132" t="str">
        <f t="shared" ca="1" si="39"/>
        <v/>
      </c>
      <c r="AM66" s="132" t="str">
        <f t="shared" ca="1" si="39"/>
        <v/>
      </c>
      <c r="AN66" s="431" t="str">
        <f t="shared" ca="1" si="39"/>
        <v/>
      </c>
      <c r="AO66" s="132" t="str">
        <f t="shared" ca="1" si="39"/>
        <v/>
      </c>
      <c r="AP66" s="132" t="str">
        <f t="shared" ca="1" si="39"/>
        <v/>
      </c>
      <c r="AQ66" s="132">
        <f t="shared" ca="1" si="39"/>
        <v>464300</v>
      </c>
      <c r="AR66" s="132" t="str">
        <f t="shared" ca="1" si="39"/>
        <v/>
      </c>
      <c r="AS66" s="132" t="str">
        <f t="shared" ca="1" si="39"/>
        <v/>
      </c>
      <c r="AT66" s="431" t="str">
        <f t="shared" ca="1" si="39"/>
        <v/>
      </c>
      <c r="AU66" s="132" t="str">
        <f t="shared" ca="1" si="39"/>
        <v/>
      </c>
      <c r="AV66" s="132" t="str">
        <f t="shared" ca="1" si="39"/>
        <v/>
      </c>
      <c r="AW66" s="132" t="str">
        <f t="shared" ca="1" si="39"/>
        <v/>
      </c>
      <c r="AX66" s="132" t="str">
        <f t="shared" ca="1" si="39"/>
        <v/>
      </c>
      <c r="AY66" s="132" t="str">
        <f t="shared" ca="1" si="39"/>
        <v/>
      </c>
      <c r="AZ66" s="132" t="str">
        <f t="shared" ca="1" si="39"/>
        <v/>
      </c>
      <c r="BA66" s="114"/>
    </row>
    <row r="67" spans="3:53" ht="15" thickBot="1">
      <c r="G67" s="437"/>
      <c r="H67" s="79"/>
      <c r="I67" s="179"/>
      <c r="J67" s="159"/>
      <c r="K67" s="160"/>
      <c r="L67" s="62" t="s">
        <v>222</v>
      </c>
      <c r="M67" s="392">
        <f ca="1">IF(ISBLANK(OFFSET(M67,0,$P$41)),$N67,OFFSET(M67,0,$P$41))</f>
        <v>150000</v>
      </c>
      <c r="N67" s="643">
        <v>150000</v>
      </c>
      <c r="O67" s="644"/>
      <c r="P67" s="645"/>
      <c r="Q67" s="870"/>
      <c r="R67" s="870"/>
      <c r="S67" s="151"/>
      <c r="T67" s="282"/>
      <c r="U67"/>
      <c r="V67" s="326">
        <v>15</v>
      </c>
      <c r="W67" s="132" t="str">
        <f t="shared" ca="1" si="38"/>
        <v/>
      </c>
      <c r="X67" s="132" t="str">
        <f t="shared" ca="1" si="39"/>
        <v/>
      </c>
      <c r="Y67" s="132" t="str">
        <f t="shared" ca="1" si="39"/>
        <v/>
      </c>
      <c r="Z67" s="132" t="str">
        <f t="shared" ca="1" si="39"/>
        <v/>
      </c>
      <c r="AA67" s="132" t="str">
        <f t="shared" ca="1" si="39"/>
        <v/>
      </c>
      <c r="AB67" s="431" t="str">
        <f t="shared" ca="1" si="39"/>
        <v/>
      </c>
      <c r="AC67" s="132" t="str">
        <f t="shared" ca="1" si="39"/>
        <v/>
      </c>
      <c r="AD67" s="132" t="str">
        <f t="shared" ca="1" si="39"/>
        <v/>
      </c>
      <c r="AE67" s="132">
        <f t="shared" ca="1" si="39"/>
        <v>482800</v>
      </c>
      <c r="AF67" s="132" t="str">
        <f t="shared" ca="1" si="39"/>
        <v/>
      </c>
      <c r="AG67" s="132" t="str">
        <f t="shared" ca="1" si="39"/>
        <v/>
      </c>
      <c r="AH67" s="431" t="str">
        <f t="shared" ca="1" si="39"/>
        <v/>
      </c>
      <c r="AI67" s="132" t="str">
        <f t="shared" ca="1" si="39"/>
        <v/>
      </c>
      <c r="AJ67" s="132" t="str">
        <f t="shared" ca="1" si="39"/>
        <v/>
      </c>
      <c r="AK67" s="132">
        <f t="shared" ca="1" si="39"/>
        <v>496400</v>
      </c>
      <c r="AL67" s="132" t="str">
        <f t="shared" ca="1" si="39"/>
        <v/>
      </c>
      <c r="AM67" s="132" t="str">
        <f t="shared" ca="1" si="39"/>
        <v/>
      </c>
      <c r="AN67" s="431" t="str">
        <f t="shared" ca="1" si="39"/>
        <v/>
      </c>
      <c r="AO67" s="132" t="str">
        <f t="shared" ca="1" si="39"/>
        <v/>
      </c>
      <c r="AP67" s="132" t="str">
        <f t="shared" ca="1" si="39"/>
        <v/>
      </c>
      <c r="AQ67" s="132">
        <f t="shared" ca="1" si="39"/>
        <v>512600</v>
      </c>
      <c r="AR67" s="132" t="str">
        <f t="shared" ca="1" si="39"/>
        <v/>
      </c>
      <c r="AS67" s="132" t="str">
        <f t="shared" ca="1" si="39"/>
        <v/>
      </c>
      <c r="AT67" s="431" t="str">
        <f t="shared" ca="1" si="39"/>
        <v/>
      </c>
      <c r="AU67" s="132" t="str">
        <f t="shared" ca="1" si="39"/>
        <v/>
      </c>
      <c r="AV67" s="132" t="str">
        <f t="shared" ca="1" si="39"/>
        <v/>
      </c>
      <c r="AW67" s="132" t="str">
        <f t="shared" ca="1" si="39"/>
        <v/>
      </c>
      <c r="AX67" s="132" t="str">
        <f t="shared" ca="1" si="39"/>
        <v/>
      </c>
      <c r="AY67" s="132" t="str">
        <f t="shared" ca="1" si="39"/>
        <v/>
      </c>
      <c r="AZ67" s="132" t="str">
        <f t="shared" ca="1" si="39"/>
        <v/>
      </c>
      <c r="BA67" s="114"/>
    </row>
    <row r="68" spans="3:53" ht="14.45">
      <c r="G68" s="28" t="s">
        <v>389</v>
      </c>
      <c r="H68" s="79"/>
      <c r="I68" s="439"/>
      <c r="J68" s="159"/>
      <c r="K68" s="160"/>
      <c r="L68" s="91"/>
      <c r="M68" s="205"/>
      <c r="N68" s="55"/>
      <c r="O68" s="219"/>
      <c r="P68" s="215"/>
      <c r="Q68" s="166"/>
      <c r="R68" s="166"/>
      <c r="S68" s="151"/>
      <c r="T68" s="282"/>
      <c r="U68"/>
      <c r="V68" s="326">
        <v>20</v>
      </c>
      <c r="W68" s="132" t="str">
        <f t="shared" ca="1" si="38"/>
        <v/>
      </c>
      <c r="X68" s="132" t="str">
        <f t="shared" ca="1" si="39"/>
        <v/>
      </c>
      <c r="Y68" s="132" t="str">
        <f t="shared" ca="1" si="39"/>
        <v/>
      </c>
      <c r="Z68" s="132" t="str">
        <f t="shared" ca="1" si="39"/>
        <v/>
      </c>
      <c r="AA68" s="132" t="str">
        <f t="shared" ca="1" si="39"/>
        <v/>
      </c>
      <c r="AB68" s="431" t="str">
        <f t="shared" ca="1" si="39"/>
        <v/>
      </c>
      <c r="AC68" s="132" t="str">
        <f t="shared" ca="1" si="39"/>
        <v/>
      </c>
      <c r="AD68" s="132" t="str">
        <f t="shared" ca="1" si="39"/>
        <v/>
      </c>
      <c r="AE68" s="132">
        <f t="shared" ca="1" si="39"/>
        <v>533000</v>
      </c>
      <c r="AF68" s="132" t="str">
        <f t="shared" ca="1" si="39"/>
        <v/>
      </c>
      <c r="AG68" s="132" t="str">
        <f t="shared" ca="1" si="39"/>
        <v/>
      </c>
      <c r="AH68" s="431" t="str">
        <f t="shared" ca="1" si="39"/>
        <v/>
      </c>
      <c r="AI68" s="132" t="str">
        <f t="shared" ca="1" si="39"/>
        <v/>
      </c>
      <c r="AJ68" s="132" t="str">
        <f t="shared" ca="1" si="39"/>
        <v/>
      </c>
      <c r="AK68" s="132">
        <f t="shared" ca="1" si="39"/>
        <v>548100</v>
      </c>
      <c r="AL68" s="132" t="str">
        <f t="shared" ca="1" si="39"/>
        <v/>
      </c>
      <c r="AM68" s="132" t="str">
        <f t="shared" ca="1" si="39"/>
        <v/>
      </c>
      <c r="AN68" s="431" t="str">
        <f t="shared" ca="1" si="39"/>
        <v/>
      </c>
      <c r="AO68" s="132" t="str">
        <f t="shared" ca="1" si="39"/>
        <v/>
      </c>
      <c r="AP68" s="132" t="str">
        <f t="shared" ca="1" si="39"/>
        <v/>
      </c>
      <c r="AQ68" s="132">
        <f t="shared" ca="1" si="39"/>
        <v>565900</v>
      </c>
      <c r="AR68" s="132" t="str">
        <f t="shared" ca="1" si="39"/>
        <v/>
      </c>
      <c r="AS68" s="132" t="str">
        <f t="shared" ca="1" si="39"/>
        <v/>
      </c>
      <c r="AT68" s="431" t="str">
        <f t="shared" ca="1" si="39"/>
        <v/>
      </c>
      <c r="AU68" s="132" t="str">
        <f t="shared" ca="1" si="39"/>
        <v/>
      </c>
      <c r="AV68" s="132" t="str">
        <f t="shared" ca="1" si="39"/>
        <v/>
      </c>
      <c r="AW68" s="132" t="str">
        <f t="shared" ca="1" si="39"/>
        <v/>
      </c>
      <c r="AX68" s="132" t="str">
        <f t="shared" ca="1" si="39"/>
        <v/>
      </c>
      <c r="AY68" s="132" t="str">
        <f t="shared" ca="1" si="39"/>
        <v/>
      </c>
      <c r="AZ68" s="132" t="str">
        <f t="shared" ca="1" si="39"/>
        <v/>
      </c>
      <c r="BA68" s="114"/>
    </row>
    <row r="69" spans="3:53" ht="15" thickBot="1">
      <c r="G69" s="437" t="s">
        <v>391</v>
      </c>
      <c r="H69" s="79"/>
      <c r="I69" s="603">
        <v>0</v>
      </c>
      <c r="J69" s="159">
        <f t="shared" ref="J69:J79" ca="1" si="40">I69/$G$38</f>
        <v>0</v>
      </c>
      <c r="K69" s="160"/>
      <c r="L69" s="91"/>
      <c r="M69" s="205"/>
      <c r="N69" s="55"/>
      <c r="O69" s="220"/>
      <c r="P69" s="25"/>
      <c r="Q69" s="182"/>
      <c r="R69" s="182"/>
      <c r="T69" s="273"/>
      <c r="U69"/>
      <c r="V69" s="270"/>
      <c r="W69" s="55"/>
      <c r="X69" s="55"/>
      <c r="Y69" s="55"/>
      <c r="Z69" s="55"/>
      <c r="AA69" s="55"/>
      <c r="AB69" s="435"/>
      <c r="AC69" s="55"/>
      <c r="AD69" s="55"/>
      <c r="AE69" s="55"/>
      <c r="AF69" s="55"/>
      <c r="AG69" s="55"/>
      <c r="AH69" s="435"/>
      <c r="AI69" s="55"/>
      <c r="AJ69" s="55"/>
      <c r="AK69" s="55"/>
      <c r="AL69" s="55"/>
      <c r="AM69" s="55"/>
      <c r="AN69" s="435"/>
      <c r="AO69" s="55"/>
      <c r="AP69" s="55"/>
      <c r="AQ69" s="55"/>
      <c r="AR69" s="55"/>
      <c r="AS69" s="55"/>
      <c r="AT69" s="435"/>
      <c r="AU69" s="55"/>
      <c r="AV69" s="55"/>
      <c r="AW69" s="55"/>
      <c r="AX69" s="55"/>
      <c r="AY69" s="55"/>
      <c r="AZ69" s="55"/>
      <c r="BA69" s="114"/>
    </row>
    <row r="70" spans="3:53" ht="31.15">
      <c r="C70" s="358"/>
      <c r="E70" s="102" t="s">
        <v>394</v>
      </c>
      <c r="F70" s="187">
        <f ca="1">(C21*M46*M47)+(C21*M48)+(C22*M53*M54)+(C22*M55)</f>
        <v>2363926.351745625</v>
      </c>
      <c r="G70" s="437" t="s">
        <v>395</v>
      </c>
      <c r="H70" s="79"/>
      <c r="I70" s="603">
        <v>300000</v>
      </c>
      <c r="J70" s="159">
        <f t="shared" ca="1" si="40"/>
        <v>25000</v>
      </c>
      <c r="K70" s="160"/>
      <c r="L70" s="222" t="s">
        <v>434</v>
      </c>
      <c r="M70" s="394"/>
      <c r="N70" s="189"/>
      <c r="O70" s="189"/>
      <c r="P70" s="190"/>
      <c r="Q70" s="313"/>
      <c r="R70" s="313"/>
      <c r="T70" s="273"/>
      <c r="U70"/>
      <c r="V70" s="321" t="s">
        <v>533</v>
      </c>
      <c r="W70" s="55"/>
      <c r="X70" s="55"/>
      <c r="Y70" s="55"/>
      <c r="Z70" s="55"/>
      <c r="AA70" s="55"/>
      <c r="AB70" s="435"/>
      <c r="AC70" s="55"/>
      <c r="AD70" s="55"/>
      <c r="AE70" s="55"/>
      <c r="AF70" s="55"/>
      <c r="AG70" s="55"/>
      <c r="AH70" s="435"/>
      <c r="AI70" s="55"/>
      <c r="AJ70" s="55"/>
      <c r="AK70" s="55"/>
      <c r="AL70" s="55"/>
      <c r="AM70" s="55"/>
      <c r="AN70" s="435"/>
      <c r="AO70" s="55"/>
      <c r="AP70" s="55"/>
      <c r="AQ70" s="55"/>
      <c r="AR70" s="55"/>
      <c r="AS70" s="55"/>
      <c r="AT70" s="435"/>
      <c r="AU70" s="55"/>
      <c r="AV70" s="55"/>
      <c r="AW70" s="55"/>
      <c r="AX70" s="55"/>
      <c r="AY70" s="55"/>
      <c r="AZ70" s="55"/>
      <c r="BA70" s="114"/>
    </row>
    <row r="71" spans="3:53" ht="15" thickBot="1">
      <c r="G71" s="437" t="s">
        <v>398</v>
      </c>
      <c r="H71" s="79"/>
      <c r="I71" s="603">
        <v>80000</v>
      </c>
      <c r="J71" s="159">
        <f t="shared" ca="1" si="40"/>
        <v>6666.666666666667</v>
      </c>
      <c r="K71" s="160"/>
      <c r="L71" s="62" t="s">
        <v>222</v>
      </c>
      <c r="M71" s="392">
        <f ca="1">IF(ISBLANK(OFFSET(M71,0,$P$41)),$N71,OFFSET(M71,0,$P$41))</f>
        <v>3000000</v>
      </c>
      <c r="N71" s="643">
        <v>3000000</v>
      </c>
      <c r="O71" s="644">
        <v>3300000</v>
      </c>
      <c r="P71" s="645"/>
      <c r="Q71" s="870"/>
      <c r="R71" s="870"/>
      <c r="T71" s="273"/>
      <c r="U71"/>
      <c r="V71" s="323" t="s">
        <v>534</v>
      </c>
      <c r="W71" s="132" t="str">
        <f t="shared" ref="W71:AZ71" ca="1" si="41">W22</f>
        <v/>
      </c>
      <c r="X71" s="132" t="str">
        <f t="shared" ca="1" si="41"/>
        <v/>
      </c>
      <c r="Y71" s="132" t="str">
        <f t="shared" ca="1" si="41"/>
        <v/>
      </c>
      <c r="Z71" s="132" t="str">
        <f t="shared" ca="1" si="41"/>
        <v/>
      </c>
      <c r="AA71" s="132" t="str">
        <f t="shared" ca="1" si="41"/>
        <v/>
      </c>
      <c r="AB71" s="431" t="str">
        <f t="shared" ca="1" si="41"/>
        <v/>
      </c>
      <c r="AC71" s="132" t="str">
        <f t="shared" ca="1" si="41"/>
        <v/>
      </c>
      <c r="AD71" s="132" t="str">
        <f t="shared" ca="1" si="41"/>
        <v/>
      </c>
      <c r="AE71" s="132">
        <f t="shared" ca="1" si="41"/>
        <v>75000</v>
      </c>
      <c r="AF71" s="132" t="str">
        <f t="shared" ca="1" si="41"/>
        <v/>
      </c>
      <c r="AG71" s="132" t="str">
        <f t="shared" ca="1" si="41"/>
        <v/>
      </c>
      <c r="AH71" s="431" t="str">
        <f t="shared" ca="1" si="41"/>
        <v/>
      </c>
      <c r="AI71" s="132" t="str">
        <f t="shared" ca="1" si="41"/>
        <v/>
      </c>
      <c r="AJ71" s="132" t="str">
        <f t="shared" ca="1" si="41"/>
        <v/>
      </c>
      <c r="AK71" s="132">
        <f t="shared" ca="1" si="41"/>
        <v>75000</v>
      </c>
      <c r="AL71" s="132" t="str">
        <f t="shared" ca="1" si="41"/>
        <v/>
      </c>
      <c r="AM71" s="132" t="str">
        <f t="shared" ca="1" si="41"/>
        <v/>
      </c>
      <c r="AN71" s="431" t="str">
        <f t="shared" ca="1" si="41"/>
        <v/>
      </c>
      <c r="AO71" s="132" t="str">
        <f t="shared" ca="1" si="41"/>
        <v/>
      </c>
      <c r="AP71" s="132" t="str">
        <f t="shared" ca="1" si="41"/>
        <v/>
      </c>
      <c r="AQ71" s="132">
        <f t="shared" ca="1" si="41"/>
        <v>75000</v>
      </c>
      <c r="AR71" s="132" t="str">
        <f t="shared" ca="1" si="41"/>
        <v/>
      </c>
      <c r="AS71" s="132" t="str">
        <f t="shared" ca="1" si="41"/>
        <v/>
      </c>
      <c r="AT71" s="431" t="str">
        <f t="shared" ca="1" si="41"/>
        <v/>
      </c>
      <c r="AU71" s="132" t="str">
        <f t="shared" ca="1" si="41"/>
        <v/>
      </c>
      <c r="AV71" s="132" t="str">
        <f t="shared" ca="1" si="41"/>
        <v/>
      </c>
      <c r="AW71" s="132" t="str">
        <f t="shared" ca="1" si="41"/>
        <v/>
      </c>
      <c r="AX71" s="132" t="str">
        <f t="shared" ca="1" si="41"/>
        <v/>
      </c>
      <c r="AY71" s="132" t="str">
        <f t="shared" ca="1" si="41"/>
        <v/>
      </c>
      <c r="AZ71" s="132" t="str">
        <f t="shared" ca="1" si="41"/>
        <v/>
      </c>
      <c r="BA71" s="114"/>
    </row>
    <row r="72" spans="3:53" ht="15" thickBot="1">
      <c r="C72" s="84" t="s">
        <v>535</v>
      </c>
      <c r="D72" s="683">
        <v>1500</v>
      </c>
      <c r="E72" s="102" t="s">
        <v>536</v>
      </c>
      <c r="F72" s="610">
        <v>10</v>
      </c>
      <c r="G72" s="437" t="s">
        <v>402</v>
      </c>
      <c r="H72" s="79"/>
      <c r="I72" s="109">
        <f ca="1">(F72/12)*D72*G38</f>
        <v>15000</v>
      </c>
      <c r="J72" s="159" t="str">
        <f ca="1">W22</f>
        <v/>
      </c>
      <c r="K72" s="177"/>
      <c r="L72" s="28"/>
      <c r="M72" s="79"/>
      <c r="N72" s="228"/>
      <c r="O72" s="166"/>
      <c r="P72" s="229"/>
      <c r="Q72" s="872"/>
      <c r="R72" s="872"/>
      <c r="T72" s="273"/>
      <c r="U72"/>
      <c r="V72" s="326">
        <v>3</v>
      </c>
      <c r="W72" s="132" t="str">
        <f t="shared" ref="W72:W77" ca="1" si="42">IFERROR(ROUND(W63-W43,-2),"")</f>
        <v/>
      </c>
      <c r="X72" s="132" t="str">
        <f t="shared" ref="X72:AZ72" ca="1" si="43">IFERROR(ROUND(X63-X43,-2),"")</f>
        <v/>
      </c>
      <c r="Y72" s="132" t="str">
        <f t="shared" ca="1" si="43"/>
        <v/>
      </c>
      <c r="Z72" s="132" t="str">
        <f t="shared" ca="1" si="43"/>
        <v/>
      </c>
      <c r="AA72" s="132" t="str">
        <f t="shared" ca="1" si="43"/>
        <v/>
      </c>
      <c r="AB72" s="431" t="str">
        <f t="shared" ca="1" si="43"/>
        <v/>
      </c>
      <c r="AC72" s="132" t="str">
        <f t="shared" ca="1" si="43"/>
        <v/>
      </c>
      <c r="AD72" s="132" t="str">
        <f t="shared" ca="1" si="43"/>
        <v/>
      </c>
      <c r="AE72" s="132">
        <f t="shared" ca="1" si="43"/>
        <v>105200</v>
      </c>
      <c r="AF72" s="132" t="str">
        <f t="shared" ca="1" si="43"/>
        <v/>
      </c>
      <c r="AG72" s="132" t="str">
        <f t="shared" ca="1" si="43"/>
        <v/>
      </c>
      <c r="AH72" s="431" t="str">
        <f t="shared" ca="1" si="43"/>
        <v/>
      </c>
      <c r="AI72" s="132" t="str">
        <f t="shared" ca="1" si="43"/>
        <v/>
      </c>
      <c r="AJ72" s="132" t="str">
        <f t="shared" ca="1" si="43"/>
        <v/>
      </c>
      <c r="AK72" s="132">
        <f t="shared" ca="1" si="43"/>
        <v>106200</v>
      </c>
      <c r="AL72" s="132" t="str">
        <f t="shared" ca="1" si="43"/>
        <v/>
      </c>
      <c r="AM72" s="132" t="str">
        <f t="shared" ca="1" si="43"/>
        <v/>
      </c>
      <c r="AN72" s="431" t="str">
        <f t="shared" ca="1" si="43"/>
        <v/>
      </c>
      <c r="AO72" s="132" t="str">
        <f t="shared" ca="1" si="43"/>
        <v/>
      </c>
      <c r="AP72" s="132" t="str">
        <f t="shared" ca="1" si="43"/>
        <v/>
      </c>
      <c r="AQ72" s="132">
        <f t="shared" ca="1" si="43"/>
        <v>107400</v>
      </c>
      <c r="AR72" s="132" t="str">
        <f t="shared" ca="1" si="43"/>
        <v/>
      </c>
      <c r="AS72" s="132" t="str">
        <f t="shared" ca="1" si="43"/>
        <v/>
      </c>
      <c r="AT72" s="431" t="str">
        <f t="shared" ca="1" si="43"/>
        <v/>
      </c>
      <c r="AU72" s="132" t="str">
        <f t="shared" ca="1" si="43"/>
        <v/>
      </c>
      <c r="AV72" s="132" t="str">
        <f t="shared" ca="1" si="43"/>
        <v/>
      </c>
      <c r="AW72" s="132" t="str">
        <f t="shared" ca="1" si="43"/>
        <v/>
      </c>
      <c r="AX72" s="132" t="str">
        <f t="shared" ca="1" si="43"/>
        <v/>
      </c>
      <c r="AY72" s="132" t="str">
        <f t="shared" ca="1" si="43"/>
        <v/>
      </c>
      <c r="AZ72" s="132" t="str">
        <f t="shared" ca="1" si="43"/>
        <v/>
      </c>
      <c r="BA72" s="114"/>
    </row>
    <row r="73" spans="3:53" ht="14.45">
      <c r="C73" s="84" t="s">
        <v>537</v>
      </c>
      <c r="D73" s="683">
        <v>200000</v>
      </c>
      <c r="E73" s="102" t="s">
        <v>536</v>
      </c>
      <c r="F73" s="610">
        <v>6</v>
      </c>
      <c r="G73" s="437" t="s">
        <v>405</v>
      </c>
      <c r="H73" s="79"/>
      <c r="I73" s="109">
        <f ca="1">(F73/12)*((SUM(I45,I54,I58:I71,I74:I79)*M45*M46)+(M52*M53)+(D73))</f>
        <v>446382.24949999998</v>
      </c>
      <c r="J73" s="159">
        <f ca="1">I73/$G$38</f>
        <v>37198.520791666662</v>
      </c>
      <c r="K73" s="160"/>
      <c r="L73" s="222" t="s">
        <v>435</v>
      </c>
      <c r="M73" s="394"/>
      <c r="N73" s="189"/>
      <c r="O73" s="189"/>
      <c r="P73" s="190"/>
      <c r="Q73" s="313"/>
      <c r="R73" s="313"/>
      <c r="T73" s="273"/>
      <c r="U73"/>
      <c r="V73" s="326">
        <v>5</v>
      </c>
      <c r="W73" s="132" t="str">
        <f t="shared" ca="1" si="42"/>
        <v/>
      </c>
      <c r="X73" s="132" t="str">
        <f t="shared" ref="X73:AZ73" ca="1" si="44">IFERROR(ROUND(X64-X44,-2),"")</f>
        <v/>
      </c>
      <c r="Y73" s="132" t="str">
        <f t="shared" ca="1" si="44"/>
        <v/>
      </c>
      <c r="Z73" s="132" t="str">
        <f t="shared" ca="1" si="44"/>
        <v/>
      </c>
      <c r="AA73" s="132" t="str">
        <f t="shared" ca="1" si="44"/>
        <v/>
      </c>
      <c r="AB73" s="431" t="str">
        <f t="shared" ca="1" si="44"/>
        <v/>
      </c>
      <c r="AC73" s="132" t="str">
        <f t="shared" ca="1" si="44"/>
        <v/>
      </c>
      <c r="AD73" s="132" t="str">
        <f t="shared" ca="1" si="44"/>
        <v/>
      </c>
      <c r="AE73" s="132">
        <f t="shared" ca="1" si="44"/>
        <v>129200</v>
      </c>
      <c r="AF73" s="132" t="str">
        <f t="shared" ca="1" si="44"/>
        <v/>
      </c>
      <c r="AG73" s="132" t="str">
        <f t="shared" ca="1" si="44"/>
        <v/>
      </c>
      <c r="AH73" s="431" t="str">
        <f t="shared" ca="1" si="44"/>
        <v/>
      </c>
      <c r="AI73" s="132" t="str">
        <f t="shared" ca="1" si="44"/>
        <v/>
      </c>
      <c r="AJ73" s="132" t="str">
        <f t="shared" ca="1" si="44"/>
        <v/>
      </c>
      <c r="AK73" s="132">
        <f t="shared" ca="1" si="44"/>
        <v>131000</v>
      </c>
      <c r="AL73" s="132" t="str">
        <f t="shared" ca="1" si="44"/>
        <v/>
      </c>
      <c r="AM73" s="132" t="str">
        <f t="shared" ca="1" si="44"/>
        <v/>
      </c>
      <c r="AN73" s="431" t="str">
        <f t="shared" ca="1" si="44"/>
        <v/>
      </c>
      <c r="AO73" s="132" t="str">
        <f t="shared" ca="1" si="44"/>
        <v/>
      </c>
      <c r="AP73" s="132" t="str">
        <f t="shared" ca="1" si="44"/>
        <v/>
      </c>
      <c r="AQ73" s="132">
        <f t="shared" ca="1" si="44"/>
        <v>133100</v>
      </c>
      <c r="AR73" s="132" t="str">
        <f t="shared" ca="1" si="44"/>
        <v/>
      </c>
      <c r="AS73" s="132" t="str">
        <f t="shared" ca="1" si="44"/>
        <v/>
      </c>
      <c r="AT73" s="431" t="str">
        <f t="shared" ca="1" si="44"/>
        <v/>
      </c>
      <c r="AU73" s="132" t="str">
        <f t="shared" ca="1" si="44"/>
        <v/>
      </c>
      <c r="AV73" s="132" t="str">
        <f t="shared" ca="1" si="44"/>
        <v/>
      </c>
      <c r="AW73" s="132" t="str">
        <f t="shared" ca="1" si="44"/>
        <v/>
      </c>
      <c r="AX73" s="132" t="str">
        <f t="shared" ca="1" si="44"/>
        <v/>
      </c>
      <c r="AY73" s="132" t="str">
        <f t="shared" ca="1" si="44"/>
        <v/>
      </c>
      <c r="AZ73" s="132" t="str">
        <f t="shared" ca="1" si="44"/>
        <v/>
      </c>
      <c r="BA73" s="114"/>
    </row>
    <row r="74" spans="3:53" ht="15" thickBot="1">
      <c r="E74"/>
      <c r="F74"/>
      <c r="G74" s="437" t="s">
        <v>407</v>
      </c>
      <c r="H74" s="79"/>
      <c r="I74" s="603">
        <v>0</v>
      </c>
      <c r="J74" s="159">
        <f t="shared" ca="1" si="40"/>
        <v>0</v>
      </c>
      <c r="K74" s="177"/>
      <c r="L74" s="62" t="s">
        <v>222</v>
      </c>
      <c r="M74" s="392">
        <f ca="1">IF(ISBLANK(OFFSET(M74,0,$P$41)),$N74,OFFSET(M74,0,$P$41))</f>
        <v>0</v>
      </c>
      <c r="N74" s="643"/>
      <c r="O74" s="644"/>
      <c r="P74" s="645"/>
      <c r="Q74" s="870"/>
      <c r="R74" s="870"/>
      <c r="T74" s="273"/>
      <c r="U74"/>
      <c r="V74" s="326">
        <v>7</v>
      </c>
      <c r="W74" s="132" t="str">
        <f t="shared" ca="1" si="42"/>
        <v/>
      </c>
      <c r="X74" s="132" t="str">
        <f t="shared" ref="X74:AZ74" ca="1" si="45">IFERROR(ROUND(X65-X45,-2),"")</f>
        <v/>
      </c>
      <c r="Y74" s="132" t="str">
        <f t="shared" ca="1" si="45"/>
        <v/>
      </c>
      <c r="Z74" s="132" t="str">
        <f t="shared" ca="1" si="45"/>
        <v/>
      </c>
      <c r="AA74" s="132" t="str">
        <f t="shared" ca="1" si="45"/>
        <v/>
      </c>
      <c r="AB74" s="431" t="str">
        <f t="shared" ca="1" si="45"/>
        <v/>
      </c>
      <c r="AC74" s="132" t="str">
        <f t="shared" ca="1" si="45"/>
        <v/>
      </c>
      <c r="AD74" s="132" t="str">
        <f t="shared" ca="1" si="45"/>
        <v/>
      </c>
      <c r="AE74" s="132">
        <f t="shared" ca="1" si="45"/>
        <v>155000</v>
      </c>
      <c r="AF74" s="132" t="str">
        <f t="shared" ca="1" si="45"/>
        <v/>
      </c>
      <c r="AG74" s="132" t="str">
        <f t="shared" ca="1" si="45"/>
        <v/>
      </c>
      <c r="AH74" s="431" t="str">
        <f t="shared" ca="1" si="45"/>
        <v/>
      </c>
      <c r="AI74" s="132" t="str">
        <f t="shared" ca="1" si="45"/>
        <v/>
      </c>
      <c r="AJ74" s="132" t="str">
        <f t="shared" ca="1" si="45"/>
        <v/>
      </c>
      <c r="AK74" s="132">
        <f t="shared" ca="1" si="45"/>
        <v>157600</v>
      </c>
      <c r="AL74" s="132" t="str">
        <f t="shared" ca="1" si="45"/>
        <v/>
      </c>
      <c r="AM74" s="132" t="str">
        <f t="shared" ca="1" si="45"/>
        <v/>
      </c>
      <c r="AN74" s="431" t="str">
        <f t="shared" ca="1" si="45"/>
        <v/>
      </c>
      <c r="AO74" s="132" t="str">
        <f t="shared" ca="1" si="45"/>
        <v/>
      </c>
      <c r="AP74" s="132" t="str">
        <f t="shared" ca="1" si="45"/>
        <v/>
      </c>
      <c r="AQ74" s="132">
        <f t="shared" ca="1" si="45"/>
        <v>160700</v>
      </c>
      <c r="AR74" s="132" t="str">
        <f t="shared" ca="1" si="45"/>
        <v/>
      </c>
      <c r="AS74" s="132" t="str">
        <f t="shared" ca="1" si="45"/>
        <v/>
      </c>
      <c r="AT74" s="431" t="str">
        <f t="shared" ca="1" si="45"/>
        <v/>
      </c>
      <c r="AU74" s="132" t="str">
        <f t="shared" ca="1" si="45"/>
        <v/>
      </c>
      <c r="AV74" s="132" t="str">
        <f t="shared" ca="1" si="45"/>
        <v/>
      </c>
      <c r="AW74" s="132" t="str">
        <f t="shared" ca="1" si="45"/>
        <v/>
      </c>
      <c r="AX74" s="132" t="str">
        <f t="shared" ca="1" si="45"/>
        <v/>
      </c>
      <c r="AY74" s="132" t="str">
        <f t="shared" ca="1" si="45"/>
        <v/>
      </c>
      <c r="AZ74" s="132" t="str">
        <f t="shared" ca="1" si="45"/>
        <v/>
      </c>
      <c r="BA74" s="114"/>
    </row>
    <row r="75" spans="3:53" ht="14.45">
      <c r="C75" s="441" t="s">
        <v>409</v>
      </c>
      <c r="G75" s="437" t="s">
        <v>410</v>
      </c>
      <c r="H75" s="79"/>
      <c r="I75" s="671">
        <v>50000</v>
      </c>
      <c r="J75" s="370">
        <f t="shared" ca="1" si="40"/>
        <v>4166.666666666667</v>
      </c>
      <c r="L75" s="15"/>
      <c r="M75" s="80"/>
      <c r="N75" s="14"/>
      <c r="O75" s="166"/>
      <c r="P75" s="229"/>
      <c r="Q75" s="872"/>
      <c r="R75" s="872"/>
      <c r="T75" s="273"/>
      <c r="U75"/>
      <c r="V75" s="326">
        <v>10</v>
      </c>
      <c r="W75" s="132" t="str">
        <f t="shared" ca="1" si="42"/>
        <v/>
      </c>
      <c r="X75" s="132" t="str">
        <f t="shared" ref="X75:AZ75" ca="1" si="46">IFERROR(ROUND(X66-X46,-2),"")</f>
        <v/>
      </c>
      <c r="Y75" s="132" t="str">
        <f t="shared" ca="1" si="46"/>
        <v/>
      </c>
      <c r="Z75" s="132" t="str">
        <f t="shared" ca="1" si="46"/>
        <v/>
      </c>
      <c r="AA75" s="132" t="str">
        <f t="shared" ca="1" si="46"/>
        <v/>
      </c>
      <c r="AB75" s="431" t="str">
        <f t="shared" ca="1" si="46"/>
        <v/>
      </c>
      <c r="AC75" s="132" t="str">
        <f t="shared" ca="1" si="46"/>
        <v/>
      </c>
      <c r="AD75" s="132" t="str">
        <f t="shared" ca="1" si="46"/>
        <v/>
      </c>
      <c r="AE75" s="132">
        <f t="shared" ca="1" si="46"/>
        <v>197400</v>
      </c>
      <c r="AF75" s="132" t="str">
        <f t="shared" ca="1" si="46"/>
        <v/>
      </c>
      <c r="AG75" s="132" t="str">
        <f t="shared" ca="1" si="46"/>
        <v/>
      </c>
      <c r="AH75" s="431" t="str">
        <f t="shared" ca="1" si="46"/>
        <v/>
      </c>
      <c r="AI75" s="132" t="str">
        <f t="shared" ca="1" si="46"/>
        <v/>
      </c>
      <c r="AJ75" s="132" t="str">
        <f t="shared" ca="1" si="46"/>
        <v/>
      </c>
      <c r="AK75" s="132">
        <f t="shared" ca="1" si="46"/>
        <v>201200</v>
      </c>
      <c r="AL75" s="132" t="str">
        <f t="shared" ca="1" si="46"/>
        <v/>
      </c>
      <c r="AM75" s="132" t="str">
        <f t="shared" ca="1" si="46"/>
        <v/>
      </c>
      <c r="AN75" s="431" t="str">
        <f t="shared" ca="1" si="46"/>
        <v/>
      </c>
      <c r="AO75" s="132" t="str">
        <f t="shared" ca="1" si="46"/>
        <v/>
      </c>
      <c r="AP75" s="132" t="str">
        <f t="shared" ca="1" si="46"/>
        <v/>
      </c>
      <c r="AQ75" s="132">
        <f t="shared" ca="1" si="46"/>
        <v>205800</v>
      </c>
      <c r="AR75" s="132" t="str">
        <f t="shared" ca="1" si="46"/>
        <v/>
      </c>
      <c r="AS75" s="132" t="str">
        <f t="shared" ca="1" si="46"/>
        <v/>
      </c>
      <c r="AT75" s="431" t="str">
        <f t="shared" ca="1" si="46"/>
        <v/>
      </c>
      <c r="AU75" s="132" t="str">
        <f t="shared" ca="1" si="46"/>
        <v/>
      </c>
      <c r="AV75" s="132" t="str">
        <f t="shared" ca="1" si="46"/>
        <v/>
      </c>
      <c r="AW75" s="132" t="str">
        <f t="shared" ca="1" si="46"/>
        <v/>
      </c>
      <c r="AX75" s="132" t="str">
        <f t="shared" ca="1" si="46"/>
        <v/>
      </c>
      <c r="AY75" s="132" t="str">
        <f t="shared" ca="1" si="46"/>
        <v/>
      </c>
      <c r="AZ75" s="132" t="str">
        <f t="shared" ca="1" si="46"/>
        <v/>
      </c>
      <c r="BA75" s="114"/>
    </row>
    <row r="76" spans="3:53" ht="15" thickBot="1">
      <c r="C76" s="205" t="s">
        <v>411</v>
      </c>
      <c r="G76" s="437" t="s">
        <v>228</v>
      </c>
      <c r="H76" s="79"/>
      <c r="I76" s="603">
        <v>45000</v>
      </c>
      <c r="J76" s="159">
        <f t="shared" ca="1" si="40"/>
        <v>3750</v>
      </c>
      <c r="L76" s="15"/>
      <c r="M76" s="80"/>
      <c r="N76" s="14"/>
      <c r="O76" s="166"/>
      <c r="P76" s="215"/>
      <c r="Q76" s="166"/>
      <c r="R76" s="166"/>
      <c r="T76" s="273"/>
      <c r="U76"/>
      <c r="V76" s="326">
        <v>15</v>
      </c>
      <c r="W76" s="132" t="str">
        <f t="shared" ca="1" si="42"/>
        <v/>
      </c>
      <c r="X76" s="132" t="str">
        <f t="shared" ref="X76:AZ76" ca="1" si="47">IFERROR(ROUND(X67-X47,-2),"")</f>
        <v/>
      </c>
      <c r="Y76" s="132" t="str">
        <f t="shared" ca="1" si="47"/>
        <v/>
      </c>
      <c r="Z76" s="132" t="str">
        <f t="shared" ca="1" si="47"/>
        <v/>
      </c>
      <c r="AA76" s="132" t="str">
        <f t="shared" ca="1" si="47"/>
        <v/>
      </c>
      <c r="AB76" s="431" t="str">
        <f t="shared" ca="1" si="47"/>
        <v/>
      </c>
      <c r="AC76" s="132" t="str">
        <f t="shared" ca="1" si="47"/>
        <v/>
      </c>
      <c r="AD76" s="132" t="str">
        <f t="shared" ca="1" si="47"/>
        <v/>
      </c>
      <c r="AE76" s="132">
        <f t="shared" ca="1" si="47"/>
        <v>279100</v>
      </c>
      <c r="AF76" s="132" t="str">
        <f t="shared" ca="1" si="47"/>
        <v/>
      </c>
      <c r="AG76" s="132" t="str">
        <f t="shared" ca="1" si="47"/>
        <v/>
      </c>
      <c r="AH76" s="431" t="str">
        <f t="shared" ca="1" si="47"/>
        <v/>
      </c>
      <c r="AI76" s="132" t="str">
        <f t="shared" ca="1" si="47"/>
        <v/>
      </c>
      <c r="AJ76" s="132" t="str">
        <f t="shared" ca="1" si="47"/>
        <v/>
      </c>
      <c r="AK76" s="132">
        <f t="shared" ca="1" si="47"/>
        <v>285500</v>
      </c>
      <c r="AL76" s="132" t="str">
        <f t="shared" ca="1" si="47"/>
        <v/>
      </c>
      <c r="AM76" s="132" t="str">
        <f t="shared" ca="1" si="47"/>
        <v/>
      </c>
      <c r="AN76" s="431" t="str">
        <f t="shared" ca="1" si="47"/>
        <v/>
      </c>
      <c r="AO76" s="132" t="str">
        <f t="shared" ca="1" si="47"/>
        <v/>
      </c>
      <c r="AP76" s="132" t="str">
        <f t="shared" ca="1" si="47"/>
        <v/>
      </c>
      <c r="AQ76" s="132">
        <f t="shared" ca="1" si="47"/>
        <v>293200</v>
      </c>
      <c r="AR76" s="132" t="str">
        <f t="shared" ca="1" si="47"/>
        <v/>
      </c>
      <c r="AS76" s="132" t="str">
        <f t="shared" ca="1" si="47"/>
        <v/>
      </c>
      <c r="AT76" s="431" t="str">
        <f t="shared" ca="1" si="47"/>
        <v/>
      </c>
      <c r="AU76" s="132" t="str">
        <f t="shared" ca="1" si="47"/>
        <v/>
      </c>
      <c r="AV76" s="132" t="str">
        <f t="shared" ca="1" si="47"/>
        <v/>
      </c>
      <c r="AW76" s="132" t="str">
        <f t="shared" ca="1" si="47"/>
        <v/>
      </c>
      <c r="AX76" s="132" t="str">
        <f t="shared" ca="1" si="47"/>
        <v/>
      </c>
      <c r="AY76" s="132" t="str">
        <f t="shared" ca="1" si="47"/>
        <v/>
      </c>
      <c r="AZ76" s="132" t="str">
        <f t="shared" ca="1" si="47"/>
        <v/>
      </c>
      <c r="BA76" s="114"/>
    </row>
    <row r="77" spans="3:53" ht="14.45">
      <c r="C77" s="205" t="s">
        <v>412</v>
      </c>
      <c r="G77" s="437" t="s">
        <v>413</v>
      </c>
      <c r="H77" s="79"/>
      <c r="I77" s="603">
        <v>92000</v>
      </c>
      <c r="J77" s="159">
        <f t="shared" ca="1" si="40"/>
        <v>7666.666666666667</v>
      </c>
      <c r="L77" s="222" t="s">
        <v>436</v>
      </c>
      <c r="M77" s="394"/>
      <c r="N77" s="235"/>
      <c r="O77" s="13"/>
      <c r="P77" s="165"/>
      <c r="Q77" s="166"/>
      <c r="R77" s="166"/>
      <c r="T77" s="273"/>
      <c r="U77"/>
      <c r="V77" s="326">
        <v>20</v>
      </c>
      <c r="W77" s="132" t="str">
        <f t="shared" ca="1" si="42"/>
        <v/>
      </c>
      <c r="X77" s="132" t="str">
        <f t="shared" ref="X77:AZ77" ca="1" si="48">IFERROR(ROUND(X68-X48,-2),"")</f>
        <v/>
      </c>
      <c r="Y77" s="132" t="str">
        <f t="shared" ca="1" si="48"/>
        <v/>
      </c>
      <c r="Z77" s="132" t="str">
        <f t="shared" ca="1" si="48"/>
        <v/>
      </c>
      <c r="AA77" s="132" t="str">
        <f t="shared" ca="1" si="48"/>
        <v/>
      </c>
      <c r="AB77" s="431" t="str">
        <f t="shared" ca="1" si="48"/>
        <v/>
      </c>
      <c r="AC77" s="132" t="str">
        <f t="shared" ca="1" si="48"/>
        <v/>
      </c>
      <c r="AD77" s="132" t="str">
        <f t="shared" ca="1" si="48"/>
        <v/>
      </c>
      <c r="AE77" s="132">
        <f t="shared" ca="1" si="48"/>
        <v>378200</v>
      </c>
      <c r="AF77" s="132" t="str">
        <f t="shared" ca="1" si="48"/>
        <v/>
      </c>
      <c r="AG77" s="132" t="str">
        <f t="shared" ca="1" si="48"/>
        <v/>
      </c>
      <c r="AH77" s="431" t="str">
        <f t="shared" ca="1" si="48"/>
        <v/>
      </c>
      <c r="AI77" s="132" t="str">
        <f t="shared" ca="1" si="48"/>
        <v/>
      </c>
      <c r="AJ77" s="132" t="str">
        <f t="shared" ca="1" si="48"/>
        <v/>
      </c>
      <c r="AK77" s="132">
        <f t="shared" ca="1" si="48"/>
        <v>387800</v>
      </c>
      <c r="AL77" s="132" t="str">
        <f t="shared" ca="1" si="48"/>
        <v/>
      </c>
      <c r="AM77" s="132" t="str">
        <f t="shared" ca="1" si="48"/>
        <v/>
      </c>
      <c r="AN77" s="431" t="str">
        <f t="shared" ca="1" si="48"/>
        <v/>
      </c>
      <c r="AO77" s="132" t="str">
        <f t="shared" ca="1" si="48"/>
        <v/>
      </c>
      <c r="AP77" s="132" t="str">
        <f t="shared" ca="1" si="48"/>
        <v/>
      </c>
      <c r="AQ77" s="132">
        <f t="shared" ca="1" si="48"/>
        <v>399100</v>
      </c>
      <c r="AR77" s="132" t="str">
        <f t="shared" ca="1" si="48"/>
        <v/>
      </c>
      <c r="AS77" s="132" t="str">
        <f t="shared" ca="1" si="48"/>
        <v/>
      </c>
      <c r="AT77" s="431" t="str">
        <f t="shared" ca="1" si="48"/>
        <v/>
      </c>
      <c r="AU77" s="132" t="str">
        <f t="shared" ca="1" si="48"/>
        <v/>
      </c>
      <c r="AV77" s="132" t="str">
        <f t="shared" ca="1" si="48"/>
        <v/>
      </c>
      <c r="AW77" s="132" t="str">
        <f t="shared" ca="1" si="48"/>
        <v/>
      </c>
      <c r="AX77" s="132" t="str">
        <f t="shared" ca="1" si="48"/>
        <v/>
      </c>
      <c r="AY77" s="132" t="str">
        <f t="shared" ca="1" si="48"/>
        <v/>
      </c>
      <c r="AZ77" s="132" t="str">
        <f t="shared" ca="1" si="48"/>
        <v/>
      </c>
      <c r="BA77" s="114"/>
    </row>
    <row r="78" spans="3:53" ht="15" thickBot="1">
      <c r="C78" s="102" t="s">
        <v>415</v>
      </c>
      <c r="D78" s="611">
        <v>0.2</v>
      </c>
      <c r="E78" s="102" t="s">
        <v>538</v>
      </c>
      <c r="F78" s="609" t="s">
        <v>539</v>
      </c>
      <c r="G78" s="437" t="s">
        <v>417</v>
      </c>
      <c r="H78" s="79"/>
      <c r="I78" s="109">
        <f ca="1">IF(F78="flat",D78*I54,D79+(D80*G38))</f>
        <v>154542.96000000002</v>
      </c>
      <c r="J78" s="159">
        <f t="shared" ca="1" si="40"/>
        <v>12878.580000000002</v>
      </c>
      <c r="L78" s="62" t="s">
        <v>222</v>
      </c>
      <c r="M78" s="392">
        <f ca="1">IF(ISBLANK(OFFSET(M78,0,$P$41)),$N78,OFFSET(M78,0,$P$41))</f>
        <v>0</v>
      </c>
      <c r="N78" s="643"/>
      <c r="O78" s="644"/>
      <c r="P78" s="645"/>
      <c r="Q78" s="870"/>
      <c r="R78" s="870"/>
      <c r="T78" s="273"/>
      <c r="U78"/>
      <c r="V78" s="270"/>
      <c r="AB78" s="429"/>
      <c r="AH78" s="429"/>
      <c r="AN78" s="429"/>
      <c r="AT78" s="429"/>
      <c r="BA78" s="114"/>
    </row>
    <row r="79" spans="3:53" ht="31.15">
      <c r="C79" s="102" t="s">
        <v>418</v>
      </c>
      <c r="D79" s="605">
        <v>50000</v>
      </c>
      <c r="G79" s="438" t="s">
        <v>419</v>
      </c>
      <c r="H79" s="173"/>
      <c r="I79" s="604">
        <v>100000</v>
      </c>
      <c r="J79" s="174">
        <f t="shared" ca="1" si="40"/>
        <v>8333.3333333333339</v>
      </c>
      <c r="N79" s="151"/>
      <c r="O79" s="151"/>
      <c r="T79" s="273"/>
      <c r="U79" s="689">
        <v>0.03</v>
      </c>
      <c r="V79" s="321" t="s">
        <v>540</v>
      </c>
      <c r="AB79" s="429"/>
      <c r="AH79" s="429"/>
      <c r="AN79" s="429"/>
      <c r="AT79" s="429"/>
      <c r="BA79" s="114"/>
    </row>
    <row r="80" spans="3:53" ht="14.45">
      <c r="C80" s="102" t="s">
        <v>421</v>
      </c>
      <c r="D80" s="612">
        <v>10000</v>
      </c>
      <c r="G80" s="54" t="s">
        <v>422</v>
      </c>
      <c r="H80" s="305"/>
      <c r="I80" s="306">
        <f ca="1">SUM(I58:I79)</f>
        <v>1348925.2094999999</v>
      </c>
      <c r="J80" s="307">
        <f ca="1">SUM(J58:J79)</f>
        <v>111160.434125</v>
      </c>
      <c r="T80" s="273"/>
      <c r="U80"/>
      <c r="V80" s="323" t="s">
        <v>541</v>
      </c>
      <c r="W80" s="366" t="str">
        <f ca="1">IF(_xlfn.XLOOKUP(W34,$K$8:$K$37,$G$8:$G$37)&gt;0,W35,"")</f>
        <v/>
      </c>
      <c r="X80" s="366" t="str">
        <f t="shared" ref="X80:AZ80" ca="1" si="49">IF(_xlfn.XLOOKUP(X34,$K$8:$K$37,$G$8:$G$37)&gt;0,X35,"")</f>
        <v/>
      </c>
      <c r="Y80" s="366" t="str">
        <f t="shared" ca="1" si="49"/>
        <v/>
      </c>
      <c r="Z80" s="366" t="str">
        <f t="shared" ca="1" si="49"/>
        <v/>
      </c>
      <c r="AA80" s="366" t="str">
        <f t="shared" ca="1" si="49"/>
        <v/>
      </c>
      <c r="AB80" s="436" t="str">
        <f t="shared" ca="1" si="49"/>
        <v/>
      </c>
      <c r="AC80" s="366" t="str">
        <f t="shared" ca="1" si="49"/>
        <v/>
      </c>
      <c r="AD80" s="366" t="str">
        <f t="shared" ca="1" si="49"/>
        <v/>
      </c>
      <c r="AE80" s="366">
        <f t="shared" ca="1" si="49"/>
        <v>0.8</v>
      </c>
      <c r="AF80" s="366" t="str">
        <f t="shared" ca="1" si="49"/>
        <v/>
      </c>
      <c r="AG80" s="366" t="str">
        <f t="shared" ca="1" si="49"/>
        <v/>
      </c>
      <c r="AH80" s="436" t="str">
        <f t="shared" ca="1" si="49"/>
        <v/>
      </c>
      <c r="AI80" s="366" t="str">
        <f t="shared" ca="1" si="49"/>
        <v/>
      </c>
      <c r="AJ80" s="366" t="str">
        <f t="shared" ca="1" si="49"/>
        <v/>
      </c>
      <c r="AK80" s="366">
        <f t="shared" ca="1" si="49"/>
        <v>0.8</v>
      </c>
      <c r="AL80" s="366" t="str">
        <f t="shared" ca="1" si="49"/>
        <v/>
      </c>
      <c r="AM80" s="366" t="str">
        <f t="shared" ca="1" si="49"/>
        <v/>
      </c>
      <c r="AN80" s="436" t="str">
        <f t="shared" ca="1" si="49"/>
        <v/>
      </c>
      <c r="AO80" s="366" t="str">
        <f t="shared" ca="1" si="49"/>
        <v/>
      </c>
      <c r="AP80" s="366" t="str">
        <f t="shared" ca="1" si="49"/>
        <v/>
      </c>
      <c r="AQ80" s="366">
        <f t="shared" ca="1" si="49"/>
        <v>0.8</v>
      </c>
      <c r="AR80" s="366" t="str">
        <f t="shared" ca="1" si="49"/>
        <v/>
      </c>
      <c r="AS80" s="366" t="str">
        <f t="shared" ca="1" si="49"/>
        <v/>
      </c>
      <c r="AT80" s="436" t="str">
        <f t="shared" ca="1" si="49"/>
        <v/>
      </c>
      <c r="AU80" s="366" t="str">
        <f t="shared" ca="1" si="49"/>
        <v/>
      </c>
      <c r="AV80" s="366" t="str">
        <f t="shared" ca="1" si="49"/>
        <v/>
      </c>
      <c r="AW80" s="366" t="str">
        <f t="shared" ca="1" si="49"/>
        <v/>
      </c>
      <c r="AX80" s="366" t="str">
        <f t="shared" ca="1" si="49"/>
        <v/>
      </c>
      <c r="AY80" s="366" t="str">
        <f t="shared" ca="1" si="49"/>
        <v/>
      </c>
      <c r="AZ80" s="366" t="str">
        <f t="shared" ca="1" si="49"/>
        <v/>
      </c>
      <c r="BA80" s="114"/>
    </row>
    <row r="81" spans="7:53" ht="14.45">
      <c r="G81" s="175"/>
      <c r="H81" s="176"/>
      <c r="I81" s="177"/>
      <c r="J81" s="198"/>
      <c r="T81" s="273"/>
      <c r="U81"/>
      <c r="V81" s="326">
        <v>3</v>
      </c>
      <c r="W81" s="365" t="str">
        <f ca="1">IFERROR(W63/(W$62*(1+$U$79)^$V81)*W$35,"")</f>
        <v/>
      </c>
      <c r="X81" s="365" t="str">
        <f t="shared" ref="X81:AZ81" ca="1" si="50">IFERROR(X63/(X$62*(1+$U$79)^$V81)*X$35,"")</f>
        <v/>
      </c>
      <c r="Y81" s="365" t="str">
        <f t="shared" ca="1" si="50"/>
        <v/>
      </c>
      <c r="Z81" s="365" t="str">
        <f t="shared" ca="1" si="50"/>
        <v/>
      </c>
      <c r="AA81" s="365" t="str">
        <f t="shared" ca="1" si="50"/>
        <v/>
      </c>
      <c r="AB81" s="365" t="str">
        <f t="shared" ca="1" si="50"/>
        <v/>
      </c>
      <c r="AC81" s="365" t="str">
        <f t="shared" ca="1" si="50"/>
        <v/>
      </c>
      <c r="AD81" s="365" t="str">
        <f t="shared" ca="1" si="50"/>
        <v/>
      </c>
      <c r="AE81" s="365">
        <f t="shared" ca="1" si="50"/>
        <v>0.777020537018969</v>
      </c>
      <c r="AF81" s="365" t="str">
        <f t="shared" ca="1" si="50"/>
        <v/>
      </c>
      <c r="AG81" s="365" t="str">
        <f t="shared" ca="1" si="50"/>
        <v/>
      </c>
      <c r="AH81" s="365" t="str">
        <f t="shared" ca="1" si="50"/>
        <v/>
      </c>
      <c r="AI81" s="365" t="str">
        <f t="shared" ca="1" si="50"/>
        <v/>
      </c>
      <c r="AJ81" s="365" t="str">
        <f t="shared" ca="1" si="50"/>
        <v/>
      </c>
      <c r="AK81" s="365">
        <f t="shared" ca="1" si="50"/>
        <v>0.77687288730511461</v>
      </c>
      <c r="AL81" s="365" t="str">
        <f t="shared" ca="1" si="50"/>
        <v/>
      </c>
      <c r="AM81" s="365" t="str">
        <f t="shared" ca="1" si="50"/>
        <v/>
      </c>
      <c r="AN81" s="365" t="str">
        <f t="shared" ca="1" si="50"/>
        <v/>
      </c>
      <c r="AO81" s="365" t="str">
        <f t="shared" ca="1" si="50"/>
        <v/>
      </c>
      <c r="AP81" s="365" t="str">
        <f t="shared" ca="1" si="50"/>
        <v/>
      </c>
      <c r="AQ81" s="365">
        <f t="shared" ca="1" si="50"/>
        <v>0.77699635261819866</v>
      </c>
      <c r="AR81" s="365" t="str">
        <f t="shared" ca="1" si="50"/>
        <v/>
      </c>
      <c r="AS81" s="365" t="str">
        <f t="shared" ca="1" si="50"/>
        <v/>
      </c>
      <c r="AT81" s="365" t="str">
        <f t="shared" ca="1" si="50"/>
        <v/>
      </c>
      <c r="AU81" s="365" t="str">
        <f t="shared" ca="1" si="50"/>
        <v/>
      </c>
      <c r="AV81" s="365" t="str">
        <f t="shared" ca="1" si="50"/>
        <v/>
      </c>
      <c r="AW81" s="365" t="str">
        <f t="shared" ca="1" si="50"/>
        <v/>
      </c>
      <c r="AX81" s="365" t="str">
        <f t="shared" ca="1" si="50"/>
        <v/>
      </c>
      <c r="AY81" s="365" t="str">
        <f t="shared" ca="1" si="50"/>
        <v/>
      </c>
      <c r="AZ81" s="365" t="str">
        <f t="shared" ca="1" si="50"/>
        <v/>
      </c>
      <c r="BA81" s="114"/>
    </row>
    <row r="82" spans="7:53" ht="14.45">
      <c r="G82" s="181" t="s">
        <v>449</v>
      </c>
      <c r="H82" s="176"/>
      <c r="I82" s="179"/>
      <c r="J82" s="159"/>
      <c r="P82" s="56"/>
      <c r="Q82" s="56"/>
      <c r="R82" s="56"/>
      <c r="T82" s="273"/>
      <c r="U82"/>
      <c r="V82" s="326">
        <v>5</v>
      </c>
      <c r="W82" s="365" t="str">
        <f t="shared" ref="W82:AZ82" ca="1" si="51">IFERROR(W64/(W$62*(1+$U$79)^$V82)*W$35,"")</f>
        <v/>
      </c>
      <c r="X82" s="365" t="str">
        <f t="shared" ca="1" si="51"/>
        <v/>
      </c>
      <c r="Y82" s="365" t="str">
        <f t="shared" ca="1" si="51"/>
        <v/>
      </c>
      <c r="Z82" s="365" t="str">
        <f t="shared" ca="1" si="51"/>
        <v/>
      </c>
      <c r="AA82" s="365" t="str">
        <f t="shared" ca="1" si="51"/>
        <v/>
      </c>
      <c r="AB82" s="365" t="str">
        <f t="shared" ca="1" si="51"/>
        <v/>
      </c>
      <c r="AC82" s="365" t="str">
        <f t="shared" ca="1" si="51"/>
        <v/>
      </c>
      <c r="AD82" s="365" t="str">
        <f t="shared" ca="1" si="51"/>
        <v/>
      </c>
      <c r="AE82" s="365">
        <f t="shared" ca="1" si="51"/>
        <v>0.76185155315148234</v>
      </c>
      <c r="AF82" s="365" t="str">
        <f t="shared" ca="1" si="51"/>
        <v/>
      </c>
      <c r="AG82" s="365" t="str">
        <f t="shared" ca="1" si="51"/>
        <v/>
      </c>
      <c r="AH82" s="365" t="str">
        <f t="shared" ca="1" si="51"/>
        <v/>
      </c>
      <c r="AI82" s="365" t="str">
        <f t="shared" ca="1" si="51"/>
        <v/>
      </c>
      <c r="AJ82" s="365" t="str">
        <f t="shared" ca="1" si="51"/>
        <v/>
      </c>
      <c r="AK82" s="365">
        <f t="shared" ca="1" si="51"/>
        <v>0.76183770586567445</v>
      </c>
      <c r="AL82" s="365" t="str">
        <f t="shared" ca="1" si="51"/>
        <v/>
      </c>
      <c r="AM82" s="365" t="str">
        <f t="shared" ca="1" si="51"/>
        <v/>
      </c>
      <c r="AN82" s="365" t="str">
        <f t="shared" ca="1" si="51"/>
        <v/>
      </c>
      <c r="AO82" s="365" t="str">
        <f t="shared" ca="1" si="51"/>
        <v/>
      </c>
      <c r="AP82" s="365" t="str">
        <f t="shared" ca="1" si="51"/>
        <v/>
      </c>
      <c r="AQ82" s="365">
        <f t="shared" ca="1" si="51"/>
        <v>0.76192850523353539</v>
      </c>
      <c r="AR82" s="365" t="str">
        <f t="shared" ca="1" si="51"/>
        <v/>
      </c>
      <c r="AS82" s="365" t="str">
        <f t="shared" ca="1" si="51"/>
        <v/>
      </c>
      <c r="AT82" s="365" t="str">
        <f t="shared" ca="1" si="51"/>
        <v/>
      </c>
      <c r="AU82" s="365" t="str">
        <f t="shared" ca="1" si="51"/>
        <v/>
      </c>
      <c r="AV82" s="365" t="str">
        <f t="shared" ca="1" si="51"/>
        <v/>
      </c>
      <c r="AW82" s="365" t="str">
        <f t="shared" ca="1" si="51"/>
        <v/>
      </c>
      <c r="AX82" s="365" t="str">
        <f t="shared" ca="1" si="51"/>
        <v/>
      </c>
      <c r="AY82" s="365" t="str">
        <f t="shared" ca="1" si="51"/>
        <v/>
      </c>
      <c r="AZ82" s="365" t="str">
        <f t="shared" ca="1" si="51"/>
        <v/>
      </c>
      <c r="BA82" s="114"/>
    </row>
    <row r="83" spans="7:53" ht="14.45">
      <c r="G83" s="28" t="s">
        <v>474</v>
      </c>
      <c r="H83" s="79"/>
      <c r="I83" s="603">
        <v>80000</v>
      </c>
      <c r="J83" s="159">
        <f ca="1">I83/$G$38</f>
        <v>6666.666666666667</v>
      </c>
      <c r="T83" s="273"/>
      <c r="U83"/>
      <c r="V83" s="326">
        <v>7</v>
      </c>
      <c r="W83" s="365" t="str">
        <f t="shared" ref="W83:AZ83" ca="1" si="52">IFERROR(W65/(W$62*(1+$U$79)^$V83)*W$35,"")</f>
        <v/>
      </c>
      <c r="X83" s="365" t="str">
        <f t="shared" ca="1" si="52"/>
        <v/>
      </c>
      <c r="Y83" s="365" t="str">
        <f t="shared" ca="1" si="52"/>
        <v/>
      </c>
      <c r="Z83" s="365" t="str">
        <f t="shared" ca="1" si="52"/>
        <v/>
      </c>
      <c r="AA83" s="365" t="str">
        <f t="shared" ca="1" si="52"/>
        <v/>
      </c>
      <c r="AB83" s="365" t="str">
        <f t="shared" ca="1" si="52"/>
        <v/>
      </c>
      <c r="AC83" s="365" t="str">
        <f t="shared" ca="1" si="52"/>
        <v/>
      </c>
      <c r="AD83" s="365" t="str">
        <f t="shared" ca="1" si="52"/>
        <v/>
      </c>
      <c r="AE83" s="365">
        <f t="shared" ca="1" si="52"/>
        <v>0.74713303241294726</v>
      </c>
      <c r="AF83" s="365" t="str">
        <f t="shared" ca="1" si="52"/>
        <v/>
      </c>
      <c r="AG83" s="365" t="str">
        <f t="shared" ca="1" si="52"/>
        <v/>
      </c>
      <c r="AH83" s="365" t="str">
        <f t="shared" ca="1" si="52"/>
        <v/>
      </c>
      <c r="AI83" s="365" t="str">
        <f t="shared" ca="1" si="52"/>
        <v/>
      </c>
      <c r="AJ83" s="365" t="str">
        <f t="shared" ca="1" si="52"/>
        <v/>
      </c>
      <c r="AK83" s="365">
        <f t="shared" ca="1" si="52"/>
        <v>0.74720317528729785</v>
      </c>
      <c r="AL83" s="365" t="str">
        <f t="shared" ca="1" si="52"/>
        <v/>
      </c>
      <c r="AM83" s="365" t="str">
        <f t="shared" ca="1" si="52"/>
        <v/>
      </c>
      <c r="AN83" s="365" t="str">
        <f t="shared" ca="1" si="52"/>
        <v/>
      </c>
      <c r="AO83" s="365" t="str">
        <f t="shared" ca="1" si="52"/>
        <v/>
      </c>
      <c r="AP83" s="365" t="str">
        <f t="shared" ca="1" si="52"/>
        <v/>
      </c>
      <c r="AQ83" s="365">
        <f t="shared" ca="1" si="52"/>
        <v>0.7472257497917193</v>
      </c>
      <c r="AR83" s="365" t="str">
        <f t="shared" ca="1" si="52"/>
        <v/>
      </c>
      <c r="AS83" s="365" t="str">
        <f t="shared" ca="1" si="52"/>
        <v/>
      </c>
      <c r="AT83" s="365" t="str">
        <f t="shared" ca="1" si="52"/>
        <v/>
      </c>
      <c r="AU83" s="365" t="str">
        <f t="shared" ca="1" si="52"/>
        <v/>
      </c>
      <c r="AV83" s="365" t="str">
        <f t="shared" ca="1" si="52"/>
        <v/>
      </c>
      <c r="AW83" s="365" t="str">
        <f t="shared" ca="1" si="52"/>
        <v/>
      </c>
      <c r="AX83" s="365" t="str">
        <f t="shared" ca="1" si="52"/>
        <v/>
      </c>
      <c r="AY83" s="365" t="str">
        <f t="shared" ca="1" si="52"/>
        <v/>
      </c>
      <c r="AZ83" s="365" t="str">
        <f t="shared" ca="1" si="52"/>
        <v/>
      </c>
      <c r="BA83" s="114"/>
    </row>
    <row r="84" spans="7:53" ht="15" thickBot="1">
      <c r="G84" s="231" t="s">
        <v>475</v>
      </c>
      <c r="H84" s="232"/>
      <c r="I84" s="233">
        <f>I83</f>
        <v>80000</v>
      </c>
      <c r="J84" s="234">
        <f ca="1">J83</f>
        <v>6666.666666666667</v>
      </c>
      <c r="T84" s="273"/>
      <c r="U84"/>
      <c r="V84" s="326">
        <v>10</v>
      </c>
      <c r="W84" s="365" t="str">
        <f t="shared" ref="W84:AZ84" ca="1" si="53">IFERROR(W66/(W$62*(1+$U$79)^$V84)*W$35,"")</f>
        <v/>
      </c>
      <c r="X84" s="365" t="str">
        <f t="shared" ca="1" si="53"/>
        <v/>
      </c>
      <c r="Y84" s="365" t="str">
        <f t="shared" ca="1" si="53"/>
        <v/>
      </c>
      <c r="Z84" s="365" t="str">
        <f t="shared" ca="1" si="53"/>
        <v/>
      </c>
      <c r="AA84" s="365" t="str">
        <f t="shared" ca="1" si="53"/>
        <v/>
      </c>
      <c r="AB84" s="365" t="str">
        <f t="shared" ca="1" si="53"/>
        <v/>
      </c>
      <c r="AC84" s="365" t="str">
        <f t="shared" ca="1" si="53"/>
        <v/>
      </c>
      <c r="AD84" s="365" t="str">
        <f t="shared" ca="1" si="53"/>
        <v/>
      </c>
      <c r="AE84" s="365">
        <f t="shared" ca="1" si="53"/>
        <v>0.7257190529547739</v>
      </c>
      <c r="AF84" s="365" t="str">
        <f t="shared" ca="1" si="53"/>
        <v/>
      </c>
      <c r="AG84" s="365" t="str">
        <f t="shared" ca="1" si="53"/>
        <v/>
      </c>
      <c r="AH84" s="365" t="str">
        <f t="shared" ca="1" si="53"/>
        <v/>
      </c>
      <c r="AI84" s="365" t="str">
        <f t="shared" ca="1" si="53"/>
        <v/>
      </c>
      <c r="AJ84" s="365" t="str">
        <f t="shared" ca="1" si="53"/>
        <v/>
      </c>
      <c r="AK84" s="365">
        <f t="shared" ca="1" si="53"/>
        <v>0.72559598882790377</v>
      </c>
      <c r="AL84" s="365" t="str">
        <f t="shared" ca="1" si="53"/>
        <v/>
      </c>
      <c r="AM84" s="365" t="str">
        <f t="shared" ca="1" si="53"/>
        <v/>
      </c>
      <c r="AN84" s="365" t="str">
        <f t="shared" ca="1" si="53"/>
        <v/>
      </c>
      <c r="AO84" s="365" t="str">
        <f t="shared" ca="1" si="53"/>
        <v/>
      </c>
      <c r="AP84" s="365" t="str">
        <f t="shared" ca="1" si="53"/>
        <v/>
      </c>
      <c r="AQ84" s="365">
        <f t="shared" ca="1" si="53"/>
        <v>0.72570611350616065</v>
      </c>
      <c r="AR84" s="365" t="str">
        <f t="shared" ca="1" si="53"/>
        <v/>
      </c>
      <c r="AS84" s="365" t="str">
        <f t="shared" ca="1" si="53"/>
        <v/>
      </c>
      <c r="AT84" s="365" t="str">
        <f t="shared" ca="1" si="53"/>
        <v/>
      </c>
      <c r="AU84" s="365" t="str">
        <f t="shared" ca="1" si="53"/>
        <v/>
      </c>
      <c r="AV84" s="365" t="str">
        <f t="shared" ca="1" si="53"/>
        <v/>
      </c>
      <c r="AW84" s="365" t="str">
        <f t="shared" ca="1" si="53"/>
        <v/>
      </c>
      <c r="AX84" s="365" t="str">
        <f t="shared" ca="1" si="53"/>
        <v/>
      </c>
      <c r="AY84" s="365" t="str">
        <f t="shared" ca="1" si="53"/>
        <v/>
      </c>
      <c r="AZ84" s="365" t="str">
        <f t="shared" ca="1" si="53"/>
        <v/>
      </c>
      <c r="BA84" s="114"/>
    </row>
    <row r="85" spans="7:53" ht="15" thickTop="1">
      <c r="G85" s="67"/>
      <c r="H85" s="51"/>
      <c r="I85" s="179"/>
      <c r="J85" s="159"/>
      <c r="T85" s="273"/>
      <c r="U85"/>
      <c r="V85" s="326">
        <v>15</v>
      </c>
      <c r="W85" s="365" t="str">
        <f t="shared" ref="W85:AZ85" ca="1" si="54">IFERROR(W67/(W$62*(1+$U$79)^$V85)*W$35,"")</f>
        <v/>
      </c>
      <c r="X85" s="365" t="str">
        <f t="shared" ca="1" si="54"/>
        <v/>
      </c>
      <c r="Y85" s="365" t="str">
        <f t="shared" ca="1" si="54"/>
        <v/>
      </c>
      <c r="Z85" s="365" t="str">
        <f t="shared" ca="1" si="54"/>
        <v/>
      </c>
      <c r="AA85" s="365" t="str">
        <f t="shared" ca="1" si="54"/>
        <v/>
      </c>
      <c r="AB85" s="365" t="str">
        <f t="shared" ca="1" si="54"/>
        <v/>
      </c>
      <c r="AC85" s="365" t="str">
        <f t="shared" ca="1" si="54"/>
        <v/>
      </c>
      <c r="AD85" s="365" t="str">
        <f t="shared" ca="1" si="54"/>
        <v/>
      </c>
      <c r="AE85" s="365">
        <f t="shared" ca="1" si="54"/>
        <v>0.69114661559479473</v>
      </c>
      <c r="AF85" s="365" t="str">
        <f t="shared" ca="1" si="54"/>
        <v/>
      </c>
      <c r="AG85" s="365" t="str">
        <f t="shared" ca="1" si="54"/>
        <v/>
      </c>
      <c r="AH85" s="365" t="str">
        <f t="shared" ca="1" si="54"/>
        <v/>
      </c>
      <c r="AI85" s="365" t="str">
        <f t="shared" ca="1" si="54"/>
        <v/>
      </c>
      <c r="AJ85" s="365" t="str">
        <f t="shared" ca="1" si="54"/>
        <v/>
      </c>
      <c r="AK85" s="365">
        <f t="shared" ca="1" si="54"/>
        <v>0.69105755612205311</v>
      </c>
      <c r="AL85" s="365" t="str">
        <f t="shared" ca="1" si="54"/>
        <v/>
      </c>
      <c r="AM85" s="365" t="str">
        <f t="shared" ca="1" si="54"/>
        <v/>
      </c>
      <c r="AN85" s="365" t="str">
        <f t="shared" ca="1" si="54"/>
        <v/>
      </c>
      <c r="AO85" s="365" t="str">
        <f t="shared" ca="1" si="54"/>
        <v/>
      </c>
      <c r="AP85" s="365" t="str">
        <f t="shared" ca="1" si="54"/>
        <v/>
      </c>
      <c r="AQ85" s="365">
        <f t="shared" ca="1" si="54"/>
        <v>0.69112177492480764</v>
      </c>
      <c r="AR85" s="365" t="str">
        <f t="shared" ca="1" si="54"/>
        <v/>
      </c>
      <c r="AS85" s="365" t="str">
        <f t="shared" ca="1" si="54"/>
        <v/>
      </c>
      <c r="AT85" s="365" t="str">
        <f t="shared" ca="1" si="54"/>
        <v/>
      </c>
      <c r="AU85" s="365" t="str">
        <f t="shared" ca="1" si="54"/>
        <v/>
      </c>
      <c r="AV85" s="365" t="str">
        <f t="shared" ca="1" si="54"/>
        <v/>
      </c>
      <c r="AW85" s="365" t="str">
        <f t="shared" ca="1" si="54"/>
        <v/>
      </c>
      <c r="AX85" s="365" t="str">
        <f t="shared" ca="1" si="54"/>
        <v/>
      </c>
      <c r="AY85" s="365" t="str">
        <f t="shared" ca="1" si="54"/>
        <v/>
      </c>
      <c r="AZ85" s="365" t="str">
        <f t="shared" ca="1" si="54"/>
        <v/>
      </c>
      <c r="BA85" s="114"/>
    </row>
    <row r="86" spans="7:53" ht="14.45">
      <c r="G86" s="236" t="s">
        <v>425</v>
      </c>
      <c r="H86" s="237"/>
      <c r="I86" s="238">
        <f ca="1">SUM(I45,I54,I80,I84)</f>
        <v>12701640.009500001</v>
      </c>
      <c r="J86" s="238">
        <f ca="1">SUM(J45,J54,J80,J84)</f>
        <v>1057220.0007916668</v>
      </c>
      <c r="T86" s="273"/>
      <c r="U86"/>
      <c r="V86" s="326">
        <v>20</v>
      </c>
      <c r="W86" s="365" t="str">
        <f t="shared" ref="W86:AZ86" ca="1" si="55">IFERROR(W68/(W$62*(1+$U$79)^$V86)*W$35,"")</f>
        <v/>
      </c>
      <c r="X86" s="365" t="str">
        <f t="shared" ca="1" si="55"/>
        <v/>
      </c>
      <c r="Y86" s="365" t="str">
        <f t="shared" ca="1" si="55"/>
        <v/>
      </c>
      <c r="Z86" s="365" t="str">
        <f t="shared" ca="1" si="55"/>
        <v/>
      </c>
      <c r="AA86" s="365" t="str">
        <f t="shared" ca="1" si="55"/>
        <v/>
      </c>
      <c r="AB86" s="365" t="str">
        <f t="shared" ca="1" si="55"/>
        <v/>
      </c>
      <c r="AC86" s="365" t="str">
        <f t="shared" ca="1" si="55"/>
        <v/>
      </c>
      <c r="AD86" s="365" t="str">
        <f t="shared" ca="1" si="55"/>
        <v/>
      </c>
      <c r="AE86" s="365">
        <f t="shared" ca="1" si="55"/>
        <v>0.65817898226540916</v>
      </c>
      <c r="AF86" s="365" t="str">
        <f t="shared" ca="1" si="55"/>
        <v/>
      </c>
      <c r="AG86" s="365" t="str">
        <f t="shared" ca="1" si="55"/>
        <v/>
      </c>
      <c r="AH86" s="365" t="str">
        <f t="shared" ca="1" si="55"/>
        <v/>
      </c>
      <c r="AI86" s="365" t="str">
        <f t="shared" ca="1" si="55"/>
        <v/>
      </c>
      <c r="AJ86" s="365" t="str">
        <f t="shared" ca="1" si="55"/>
        <v/>
      </c>
      <c r="AK86" s="365">
        <f t="shared" ca="1" si="55"/>
        <v>0.65819734433774224</v>
      </c>
      <c r="AL86" s="365" t="str">
        <f t="shared" ca="1" si="55"/>
        <v/>
      </c>
      <c r="AM86" s="365" t="str">
        <f t="shared" ca="1" si="55"/>
        <v/>
      </c>
      <c r="AN86" s="365" t="str">
        <f t="shared" ca="1" si="55"/>
        <v/>
      </c>
      <c r="AO86" s="365" t="str">
        <f t="shared" ca="1" si="55"/>
        <v/>
      </c>
      <c r="AP86" s="365" t="str">
        <f t="shared" ca="1" si="55"/>
        <v/>
      </c>
      <c r="AQ86" s="365">
        <f t="shared" ca="1" si="55"/>
        <v>0.65815706091646309</v>
      </c>
      <c r="AR86" s="365" t="str">
        <f t="shared" ca="1" si="55"/>
        <v/>
      </c>
      <c r="AS86" s="365" t="str">
        <f t="shared" ca="1" si="55"/>
        <v/>
      </c>
      <c r="AT86" s="365" t="str">
        <f t="shared" ca="1" si="55"/>
        <v/>
      </c>
      <c r="AU86" s="365" t="str">
        <f t="shared" ca="1" si="55"/>
        <v/>
      </c>
      <c r="AV86" s="365" t="str">
        <f t="shared" ca="1" si="55"/>
        <v/>
      </c>
      <c r="AW86" s="365" t="str">
        <f t="shared" ca="1" si="55"/>
        <v/>
      </c>
      <c r="AX86" s="365" t="str">
        <f t="shared" ca="1" si="55"/>
        <v/>
      </c>
      <c r="AY86" s="365" t="str">
        <f t="shared" ca="1" si="55"/>
        <v/>
      </c>
      <c r="AZ86" s="365" t="str">
        <f t="shared" ca="1" si="55"/>
        <v/>
      </c>
      <c r="BA86" s="114"/>
    </row>
    <row r="87" spans="7:53">
      <c r="G87" s="79"/>
      <c r="H87" s="240"/>
      <c r="I87" s="240"/>
      <c r="T87" s="67"/>
      <c r="W87" s="55"/>
      <c r="X87" s="55"/>
      <c r="Y87" s="55"/>
      <c r="Z87" s="55"/>
      <c r="AA87" s="55"/>
      <c r="AB87" s="435"/>
      <c r="AC87" s="55"/>
      <c r="AD87" s="55"/>
      <c r="AE87" s="55"/>
      <c r="AF87" s="55"/>
      <c r="AG87" s="55"/>
      <c r="AH87" s="435"/>
      <c r="AI87" s="55"/>
      <c r="AJ87" s="55"/>
      <c r="AK87" s="55"/>
      <c r="AL87" s="55"/>
      <c r="AM87" s="55"/>
      <c r="AN87" s="435"/>
      <c r="AO87" s="55"/>
      <c r="AP87" s="55"/>
      <c r="AQ87" s="55"/>
      <c r="AR87" s="55"/>
      <c r="AS87" s="55"/>
      <c r="AT87" s="435"/>
      <c r="AU87" s="55"/>
      <c r="AV87" s="55"/>
      <c r="AW87" s="55"/>
      <c r="AX87" s="55"/>
      <c r="AY87" s="55"/>
      <c r="AZ87" s="55"/>
      <c r="BA87" s="114"/>
    </row>
    <row r="88" spans="7:53">
      <c r="G88" s="79"/>
      <c r="H88" s="240"/>
      <c r="I88" s="240"/>
      <c r="T88" s="98"/>
      <c r="U88" s="170"/>
      <c r="V88" s="327"/>
      <c r="W88" s="170"/>
      <c r="X88" s="170"/>
      <c r="Y88" s="170"/>
      <c r="Z88" s="170"/>
      <c r="AA88" s="170"/>
      <c r="AB88" s="298"/>
      <c r="AC88" s="170"/>
      <c r="AD88" s="170"/>
      <c r="AE88" s="170"/>
      <c r="AF88" s="170"/>
      <c r="AG88" s="170"/>
      <c r="AH88" s="298"/>
      <c r="AI88" s="170"/>
      <c r="AJ88" s="170"/>
      <c r="AK88" s="170"/>
      <c r="AL88" s="170"/>
      <c r="AM88" s="170"/>
      <c r="AN88" s="298"/>
      <c r="AO88" s="170"/>
      <c r="AP88" s="170"/>
      <c r="AQ88" s="170"/>
      <c r="AR88" s="170"/>
      <c r="AS88" s="170"/>
      <c r="AT88" s="298"/>
      <c r="AU88" s="170"/>
      <c r="AV88" s="170"/>
      <c r="AW88" s="170"/>
      <c r="AX88" s="170"/>
      <c r="AY88" s="170"/>
      <c r="AZ88" s="170"/>
      <c r="BA88" s="171"/>
    </row>
    <row r="89" spans="7:53">
      <c r="G89" s="79"/>
      <c r="H89" s="241"/>
      <c r="I89" s="241"/>
    </row>
    <row r="90" spans="7:53" ht="21">
      <c r="G90" s="3"/>
      <c r="H90" s="3"/>
      <c r="I90" s="1"/>
    </row>
    <row r="91" spans="7:53" ht="21">
      <c r="G91" s="3"/>
      <c r="H91" s="3"/>
      <c r="I91" s="1"/>
    </row>
    <row r="92" spans="7:53">
      <c r="G92" s="79"/>
      <c r="H92" s="241"/>
      <c r="I92" s="241"/>
      <c r="X92" s="109"/>
    </row>
    <row r="93" spans="7:53">
      <c r="G93" s="242"/>
      <c r="H93" s="241"/>
      <c r="I93" s="241"/>
    </row>
    <row r="94" spans="7:53">
      <c r="G94" s="79"/>
      <c r="H94" s="243"/>
      <c r="I94" s="243"/>
      <c r="X94" s="559"/>
    </row>
    <row r="95" spans="7:53">
      <c r="G95" s="79"/>
      <c r="H95" s="243"/>
      <c r="I95" s="243"/>
    </row>
    <row r="96" spans="7:53">
      <c r="G96" s="79"/>
      <c r="H96" s="243"/>
      <c r="I96" s="243"/>
      <c r="X96" s="560"/>
    </row>
    <row r="97" spans="7:24">
      <c r="G97" s="79"/>
      <c r="H97" s="243"/>
      <c r="I97" s="243"/>
    </row>
    <row r="98" spans="7:24">
      <c r="G98" s="242"/>
      <c r="H98" s="243"/>
      <c r="I98" s="243"/>
      <c r="X98" s="561"/>
    </row>
    <row r="99" spans="7:24">
      <c r="G99" s="79"/>
      <c r="H99" s="243"/>
      <c r="I99" s="243"/>
    </row>
    <row r="100" spans="7:24">
      <c r="G100" s="79"/>
      <c r="H100" s="243"/>
      <c r="I100" s="243"/>
    </row>
    <row r="101" spans="7:24">
      <c r="G101" s="79"/>
      <c r="H101" s="243"/>
      <c r="I101" s="243"/>
      <c r="X101" s="560"/>
    </row>
    <row r="102" spans="7:24">
      <c r="G102" s="79"/>
      <c r="H102" s="243"/>
      <c r="I102" s="243"/>
    </row>
    <row r="103" spans="7:24">
      <c r="G103" s="79"/>
      <c r="H103" s="243"/>
      <c r="I103" s="243"/>
    </row>
    <row r="104" spans="7:24">
      <c r="G104" s="79"/>
      <c r="H104" s="243"/>
      <c r="I104" s="243"/>
    </row>
    <row r="105" spans="7:24">
      <c r="G105" s="242"/>
      <c r="H105" s="243"/>
      <c r="I105" s="243"/>
    </row>
    <row r="106" spans="7:24">
      <c r="G106" s="79"/>
      <c r="H106" s="243"/>
      <c r="I106" s="243"/>
    </row>
    <row r="107" spans="7:24">
      <c r="G107" s="79"/>
      <c r="H107" s="243"/>
      <c r="I107" s="243"/>
    </row>
    <row r="108" spans="7:24">
      <c r="G108" s="151"/>
      <c r="H108" s="33"/>
      <c r="I108" s="33"/>
    </row>
  </sheetData>
  <sheetProtection algorithmName="SHA-512" hashValue="ScYUMXlrnWLk32lbe2OH3e1p7+zyw9phbjkVK/6bCXSLayD/ji6lsJDjGpVri3f9I05x50kfqRik6Z5hxx8Ljw==" saltValue="k2M9ZE8xvB8siPmHBtedww==" spinCount="100000" sheet="1" formatCells="0" formatColumns="0" formatRows="0" insertColumns="0" insertRows="0" insertHyperlinks="0" deleteColumns="0" deleteRows="0" sort="0" autoFilter="0" pivotTables="0"/>
  <protectedRanges>
    <protectedRange algorithmName="SHA-512" hashValue="4WD4xc+PCX3IpxagPOxKyDgkWNosM1PswLxfK7F3MTvH2sore2CgoJ7bPoTsN+AH533Rq12WKIwoEtSprHFRxw==" saltValue="WgJoMmDAM8aZASgKzucKtQ==" spinCount="100000" sqref="N75:N76 P59:R59 V50:AZ50 V48 S42:S44 S49 H94:I108 P49:R51" name="Locked cells_1_1"/>
    <protectedRange algorithmName="SHA-512" hashValue="4WD4xc+PCX3IpxagPOxKyDgkWNosM1PswLxfK7F3MTvH2sore2CgoJ7bPoTsN+AH533Rq12WKIwoEtSprHFRxw==" saltValue="WgJoMmDAM8aZASgKzucKtQ==" spinCount="100000" sqref="V46:V47" name="Locked cells_1_1_1"/>
  </protectedRanges>
  <conditionalFormatting sqref="C30:C31">
    <cfRule type="expression" dxfId="23" priority="21">
      <formula>$C$30&lt;0</formula>
    </cfRule>
    <cfRule type="expression" dxfId="22" priority="22">
      <formula>$C$30&gt;0</formula>
    </cfRule>
  </conditionalFormatting>
  <conditionalFormatting sqref="C42:E42">
    <cfRule type="cellIs" dxfId="21" priority="15" operator="greaterThan">
      <formula>0</formula>
    </cfRule>
    <cfRule type="cellIs" dxfId="20" priority="16" operator="lessThan">
      <formula>0</formula>
    </cfRule>
  </conditionalFormatting>
  <conditionalFormatting sqref="C44:E44">
    <cfRule type="cellIs" dxfId="19" priority="1" operator="greaterThan">
      <formula>0</formula>
    </cfRule>
    <cfRule type="cellIs" dxfId="18" priority="2" operator="lessThan">
      <formula>0</formula>
    </cfRule>
  </conditionalFormatting>
  <conditionalFormatting sqref="D30:D31">
    <cfRule type="expression" dxfId="17" priority="20">
      <formula>$D$30&lt;0</formula>
    </cfRule>
    <cfRule type="expression" dxfId="16" priority="23">
      <formula>$D$30&gt;0</formula>
    </cfRule>
  </conditionalFormatting>
  <conditionalFormatting sqref="G8:G37 K8:O37">
    <cfRule type="expression" dxfId="15" priority="4">
      <formula>$G8&gt;0</formula>
    </cfRule>
  </conditionalFormatting>
  <conditionalFormatting sqref="H8:J37">
    <cfRule type="expression" dxfId="14" priority="3">
      <formula>$G8&gt;0</formula>
    </cfRule>
  </conditionalFormatting>
  <conditionalFormatting sqref="AA31:AO31">
    <cfRule type="cellIs" dxfId="13" priority="36" operator="greaterThanOrEqual">
      <formula>$U$43</formula>
    </cfRule>
    <cfRule type="cellIs" dxfId="12" priority="37" operator="lessThan">
      <formula>$U$43</formula>
    </cfRule>
  </conditionalFormatting>
  <hyperlinks>
    <hyperlink ref="T19" r:id="rId1" xr:uid="{9249859A-032E-4EC9-A251-59D6BF251381}"/>
  </hyperlinks>
  <pageMargins left="0.7" right="0.7" top="0.75" bottom="0.75" header="0.3" footer="0.3"/>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43848-8E94-4E97-9B4F-D95402230C8A}">
  <sheetPr>
    <tabColor theme="8" tint="0.79998168889431442"/>
  </sheetPr>
  <dimension ref="A1:BA108"/>
  <sheetViews>
    <sheetView zoomScale="85" zoomScaleNormal="85" workbookViewId="0">
      <selection activeCell="AC42" sqref="AC42"/>
    </sheetView>
  </sheetViews>
  <sheetFormatPr defaultColWidth="8.7109375" defaultRowHeight="13.9"/>
  <cols>
    <col min="1" max="1" width="8.7109375" style="51"/>
    <col min="2" max="2" width="46.28515625" style="51" customWidth="1"/>
    <col min="3" max="4" width="17.7109375" style="51" customWidth="1"/>
    <col min="5" max="5" width="21.5703125" style="51" customWidth="1"/>
    <col min="6" max="6" width="15" style="51" customWidth="1"/>
    <col min="7" max="7" width="23.7109375" style="51" customWidth="1"/>
    <col min="8" max="8" width="16.28515625" style="102" customWidth="1"/>
    <col min="9" max="9" width="15.28515625" style="102" customWidth="1"/>
    <col min="10" max="10" width="14" style="51" customWidth="1"/>
    <col min="11" max="11" width="17" style="51" customWidth="1"/>
    <col min="12" max="12" width="20" style="51" customWidth="1"/>
    <col min="13" max="13" width="22.7109375" style="51" customWidth="1"/>
    <col min="14" max="14" width="19.5703125" style="51" customWidth="1"/>
    <col min="15" max="15" width="22.5703125" style="51" customWidth="1"/>
    <col min="16" max="16" width="17.42578125" style="51" customWidth="1"/>
    <col min="17" max="17" width="17.28515625" style="51" customWidth="1"/>
    <col min="18" max="18" width="26.7109375" style="51" customWidth="1"/>
    <col min="19" max="19" width="23.7109375" style="51" customWidth="1"/>
    <col min="20" max="20" width="26.7109375" style="55" customWidth="1"/>
    <col min="21" max="45" width="15.7109375" style="51" customWidth="1"/>
    <col min="46" max="49" width="16.5703125" style="51" customWidth="1"/>
    <col min="50" max="50" width="14.28515625" style="51" customWidth="1"/>
    <col min="51" max="16384" width="8.7109375" style="51"/>
  </cols>
  <sheetData>
    <row r="1" spans="1:51" s="50" customFormat="1" ht="30.4" customHeight="1">
      <c r="A1" s="99" t="s">
        <v>40</v>
      </c>
      <c r="H1" s="100"/>
      <c r="I1" s="100"/>
      <c r="T1" s="57"/>
    </row>
    <row r="2" spans="1:51" ht="13.5" customHeight="1" thickBot="1">
      <c r="A2" s="101"/>
      <c r="S2" s="55"/>
      <c r="T2" s="51"/>
    </row>
    <row r="3" spans="1:51" ht="28.15">
      <c r="A3" s="101"/>
      <c r="B3" s="507" t="s">
        <v>169</v>
      </c>
      <c r="C3" s="508"/>
      <c r="F3" s="117"/>
      <c r="G3" s="103" t="s">
        <v>170</v>
      </c>
      <c r="H3" s="71"/>
      <c r="I3" s="32" t="s">
        <v>171</v>
      </c>
      <c r="J3" s="599">
        <v>1</v>
      </c>
      <c r="K3" s="106"/>
      <c r="L3" s="106"/>
      <c r="M3" s="106"/>
      <c r="N3" s="106"/>
      <c r="O3" s="107"/>
      <c r="R3" s="451" t="s">
        <v>490</v>
      </c>
      <c r="S3" s="452"/>
      <c r="T3" s="452"/>
      <c r="U3" s="452"/>
      <c r="V3" s="452"/>
      <c r="W3" s="452"/>
      <c r="X3" s="452"/>
      <c r="Y3" s="452"/>
      <c r="Z3" s="453"/>
      <c r="AA3" s="452"/>
      <c r="AB3" s="452"/>
      <c r="AC3" s="452"/>
      <c r="AD3" s="452"/>
      <c r="AE3" s="452"/>
      <c r="AF3" s="453"/>
      <c r="AG3" s="452"/>
      <c r="AH3" s="452"/>
      <c r="AI3" s="452"/>
      <c r="AJ3" s="452"/>
      <c r="AK3" s="452"/>
      <c r="AL3" s="453"/>
      <c r="AM3" s="452"/>
      <c r="AN3" s="452"/>
      <c r="AO3" s="452"/>
      <c r="AP3" s="452"/>
      <c r="AQ3" s="452"/>
      <c r="AR3" s="453"/>
      <c r="AS3" s="452"/>
      <c r="AT3" s="452"/>
      <c r="AU3" s="452"/>
      <c r="AV3" s="452"/>
      <c r="AW3" s="452"/>
      <c r="AX3" s="452"/>
      <c r="AY3" s="454"/>
    </row>
    <row r="4" spans="1:51">
      <c r="B4" s="509" t="s">
        <v>175</v>
      </c>
      <c r="C4" s="510"/>
      <c r="F4" s="117"/>
      <c r="G4" s="31"/>
      <c r="H4" s="81"/>
      <c r="I4" s="81"/>
      <c r="J4" s="81"/>
      <c r="N4" s="369"/>
      <c r="O4" s="370"/>
      <c r="P4" s="111"/>
      <c r="Q4" s="111"/>
      <c r="R4" s="67"/>
      <c r="T4" s="51"/>
      <c r="U4" s="266" t="str" cm="1">
        <f t="array" ref="U4:AX4">TRANSPOSE(K8:K37)</f>
        <v>0bd-50</v>
      </c>
      <c r="V4" s="266" t="str">
        <v>0bd-60</v>
      </c>
      <c r="W4" s="266" t="str">
        <v>0bd-80</v>
      </c>
      <c r="X4" s="266" t="str">
        <v>0bd-100</v>
      </c>
      <c r="Y4" s="266" t="str">
        <v>0bd-120</v>
      </c>
      <c r="Z4" s="291" t="str">
        <v>0bd-mrkt</v>
      </c>
      <c r="AA4" s="266" t="str">
        <v>1bd-50</v>
      </c>
      <c r="AB4" s="266" t="str">
        <v>1bd-60</v>
      </c>
      <c r="AC4" s="266" t="str">
        <v>1bd-80</v>
      </c>
      <c r="AD4" s="266" t="str">
        <v>1bd-100</v>
      </c>
      <c r="AE4" s="266" t="str">
        <v>1bd-120</v>
      </c>
      <c r="AF4" s="291" t="str">
        <v>1bd-mrkt</v>
      </c>
      <c r="AG4" s="266" t="str">
        <v>2bd-50</v>
      </c>
      <c r="AH4" s="266" t="str">
        <v>2bd-60</v>
      </c>
      <c r="AI4" s="266" t="str">
        <v>2bd-80</v>
      </c>
      <c r="AJ4" s="266" t="str">
        <v>2bd-100</v>
      </c>
      <c r="AK4" s="266" t="str">
        <v>2bd-120</v>
      </c>
      <c r="AL4" s="291" t="str">
        <v>2bd-mrkt</v>
      </c>
      <c r="AM4" s="266" t="str">
        <v>3bd-50</v>
      </c>
      <c r="AN4" s="266" t="str">
        <v>3bd-60</v>
      </c>
      <c r="AO4" s="266" t="str">
        <v>3bd-80</v>
      </c>
      <c r="AP4" s="266" t="str">
        <v>3bd-100</v>
      </c>
      <c r="AQ4" s="266" t="str">
        <v>3bd-120</v>
      </c>
      <c r="AR4" s="291" t="str">
        <v>3bd-mrkt</v>
      </c>
      <c r="AS4" s="266" t="str">
        <v>4bd-50</v>
      </c>
      <c r="AT4" s="266" t="str">
        <v>4bd-60</v>
      </c>
      <c r="AU4" s="266" t="str">
        <v>4bd-80</v>
      </c>
      <c r="AV4" s="266" t="str">
        <v>4bd-100</v>
      </c>
      <c r="AW4" s="266" t="str">
        <v>4bd-120</v>
      </c>
      <c r="AX4" s="267" t="str">
        <v>4bd-mrkt</v>
      </c>
      <c r="AY4" s="114"/>
    </row>
    <row r="5" spans="1:51" ht="14.45">
      <c r="B5" s="509" t="s">
        <v>180</v>
      </c>
      <c r="C5" s="511"/>
      <c r="F5"/>
      <c r="G5" s="505" t="s">
        <v>181</v>
      </c>
      <c r="H5" s="17">
        <v>1</v>
      </c>
      <c r="I5" s="16">
        <v>2</v>
      </c>
      <c r="J5" s="18">
        <v>3</v>
      </c>
      <c r="K5" s="55"/>
      <c r="N5" s="118"/>
      <c r="O5" s="371"/>
      <c r="P5" s="357"/>
      <c r="Q5" s="121"/>
      <c r="R5" s="273"/>
      <c r="S5"/>
      <c r="T5" s="270" t="s">
        <v>478</v>
      </c>
      <c r="U5" s="160" t="str">
        <f t="shared" ref="U5:AX5" ca="1" si="0">IF(_xlfn.XLOOKUP(U4,$K$8:$K$37,$G$8:$G$37)&gt;0,$J$86,"")</f>
        <v/>
      </c>
      <c r="V5" s="160" t="str">
        <f t="shared" ca="1" si="0"/>
        <v/>
      </c>
      <c r="W5" s="160" t="str">
        <f t="shared" ca="1" si="0"/>
        <v/>
      </c>
      <c r="X5" s="160" t="str">
        <f t="shared" ca="1" si="0"/>
        <v/>
      </c>
      <c r="Y5" s="160" t="str">
        <f t="shared" ca="1" si="0"/>
        <v/>
      </c>
      <c r="Z5" s="422" t="str">
        <f t="shared" ca="1" si="0"/>
        <v/>
      </c>
      <c r="AA5" s="160" t="str">
        <f t="shared" ca="1" si="0"/>
        <v/>
      </c>
      <c r="AB5" s="160" t="str">
        <f t="shared" ca="1" si="0"/>
        <v/>
      </c>
      <c r="AC5" s="160">
        <f t="shared" ca="1" si="0"/>
        <v>774872.61712499999</v>
      </c>
      <c r="AD5" s="160" t="str">
        <f t="shared" ca="1" si="0"/>
        <v/>
      </c>
      <c r="AE5" s="160" t="str">
        <f t="shared" ca="1" si="0"/>
        <v/>
      </c>
      <c r="AF5" s="422" t="str">
        <f t="shared" ca="1" si="0"/>
        <v/>
      </c>
      <c r="AG5" s="160" t="str">
        <f t="shared" ca="1" si="0"/>
        <v/>
      </c>
      <c r="AH5" s="160" t="str">
        <f t="shared" ca="1" si="0"/>
        <v/>
      </c>
      <c r="AI5" s="160" t="str">
        <f t="shared" ca="1" si="0"/>
        <v/>
      </c>
      <c r="AJ5" s="160" t="str">
        <f t="shared" ca="1" si="0"/>
        <v/>
      </c>
      <c r="AK5" s="160" t="str">
        <f t="shared" ca="1" si="0"/>
        <v/>
      </c>
      <c r="AL5" s="422" t="str">
        <f t="shared" ca="1" si="0"/>
        <v/>
      </c>
      <c r="AM5" s="160" t="str">
        <f t="shared" ca="1" si="0"/>
        <v/>
      </c>
      <c r="AN5" s="160" t="str">
        <f t="shared" ca="1" si="0"/>
        <v/>
      </c>
      <c r="AO5" s="160" t="str">
        <f t="shared" ca="1" si="0"/>
        <v/>
      </c>
      <c r="AP5" s="160" t="str">
        <f t="shared" ca="1" si="0"/>
        <v/>
      </c>
      <c r="AQ5" s="160" t="str">
        <f t="shared" ca="1" si="0"/>
        <v/>
      </c>
      <c r="AR5" s="422" t="str">
        <f t="shared" ca="1" si="0"/>
        <v/>
      </c>
      <c r="AS5" s="160" t="str">
        <f t="shared" ca="1" si="0"/>
        <v/>
      </c>
      <c r="AT5" s="160" t="str">
        <f t="shared" ca="1" si="0"/>
        <v/>
      </c>
      <c r="AU5" s="160" t="str">
        <f t="shared" ca="1" si="0"/>
        <v/>
      </c>
      <c r="AV5" s="160" t="str">
        <f t="shared" ca="1" si="0"/>
        <v/>
      </c>
      <c r="AW5" s="160" t="str">
        <f t="shared" ca="1" si="0"/>
        <v/>
      </c>
      <c r="AX5" s="160" t="str">
        <f t="shared" ca="1" si="0"/>
        <v/>
      </c>
      <c r="AY5" s="114"/>
    </row>
    <row r="6" spans="1:51" ht="27.6">
      <c r="B6" s="509" t="s">
        <v>491</v>
      </c>
      <c r="C6" s="512"/>
      <c r="D6" s="275"/>
      <c r="F6"/>
      <c r="G6" s="503" t="s">
        <v>186</v>
      </c>
      <c r="H6" s="600" t="s">
        <v>187</v>
      </c>
      <c r="I6" s="601" t="s">
        <v>440</v>
      </c>
      <c r="J6" s="601" t="s">
        <v>189</v>
      </c>
      <c r="K6" s="55"/>
      <c r="N6" s="118"/>
      <c r="O6" s="371"/>
      <c r="P6" s="357"/>
      <c r="Q6" s="121"/>
      <c r="R6" s="273"/>
      <c r="S6"/>
      <c r="T6" s="270" t="s">
        <v>479</v>
      </c>
      <c r="U6" s="102" t="str">
        <f ca="1">IF(_xlfn.XLOOKUP(U4,$K$8:$K$37,$G$8:$G$37)&gt;0,_xlfn.XLOOKUP(U4,$K$8:$K$37,$L$8:$L$37)+1,"")</f>
        <v/>
      </c>
      <c r="V6" s="102" t="str">
        <f t="shared" ref="V6:AX6" ca="1" si="1">IF(_xlfn.XLOOKUP(V4,$K$8:$K$37,$G$8:$G$37)&gt;0,_xlfn.XLOOKUP(V4,$K$8:$K$37,$L$8:$L$37)+1,"")</f>
        <v/>
      </c>
      <c r="W6" s="102" t="str">
        <f t="shared" ca="1" si="1"/>
        <v/>
      </c>
      <c r="X6" s="102" t="str">
        <f t="shared" ca="1" si="1"/>
        <v/>
      </c>
      <c r="Y6" s="102" t="str">
        <f t="shared" ca="1" si="1"/>
        <v/>
      </c>
      <c r="Z6" s="293" t="str">
        <f t="shared" ca="1" si="1"/>
        <v/>
      </c>
      <c r="AA6" s="102" t="str">
        <f t="shared" ca="1" si="1"/>
        <v/>
      </c>
      <c r="AB6" s="102" t="str">
        <f t="shared" ca="1" si="1"/>
        <v/>
      </c>
      <c r="AC6" s="102">
        <f t="shared" ca="1" si="1"/>
        <v>2</v>
      </c>
      <c r="AD6" s="102" t="str">
        <f t="shared" ca="1" si="1"/>
        <v/>
      </c>
      <c r="AE6" s="102" t="str">
        <f t="shared" ca="1" si="1"/>
        <v/>
      </c>
      <c r="AF6" s="293" t="str">
        <f t="shared" ca="1" si="1"/>
        <v/>
      </c>
      <c r="AG6" s="102" t="str">
        <f t="shared" ca="1" si="1"/>
        <v/>
      </c>
      <c r="AH6" s="102" t="str">
        <f t="shared" ca="1" si="1"/>
        <v/>
      </c>
      <c r="AI6" s="102" t="str">
        <f t="shared" ca="1" si="1"/>
        <v/>
      </c>
      <c r="AJ6" s="102" t="str">
        <f t="shared" ca="1" si="1"/>
        <v/>
      </c>
      <c r="AK6" s="102" t="str">
        <f t="shared" ca="1" si="1"/>
        <v/>
      </c>
      <c r="AL6" s="293" t="str">
        <f t="shared" ca="1" si="1"/>
        <v/>
      </c>
      <c r="AM6" s="102" t="str">
        <f t="shared" ca="1" si="1"/>
        <v/>
      </c>
      <c r="AN6" s="102" t="str">
        <f t="shared" ca="1" si="1"/>
        <v/>
      </c>
      <c r="AO6" s="102" t="str">
        <f t="shared" ca="1" si="1"/>
        <v/>
      </c>
      <c r="AP6" s="102" t="str">
        <f t="shared" ca="1" si="1"/>
        <v/>
      </c>
      <c r="AQ6" s="102" t="str">
        <f t="shared" ca="1" si="1"/>
        <v/>
      </c>
      <c r="AR6" s="293" t="str">
        <f t="shared" ca="1" si="1"/>
        <v/>
      </c>
      <c r="AS6" s="102" t="str">
        <f t="shared" ca="1" si="1"/>
        <v/>
      </c>
      <c r="AT6" s="102" t="str">
        <f t="shared" ca="1" si="1"/>
        <v/>
      </c>
      <c r="AU6" s="102" t="str">
        <f t="shared" ca="1" si="1"/>
        <v/>
      </c>
      <c r="AV6" s="102" t="str">
        <f t="shared" ca="1" si="1"/>
        <v/>
      </c>
      <c r="AW6" s="102" t="str">
        <f t="shared" ca="1" si="1"/>
        <v/>
      </c>
      <c r="AX6" s="102" t="str">
        <f t="shared" ca="1" si="1"/>
        <v/>
      </c>
      <c r="AY6" s="114"/>
    </row>
    <row r="7" spans="1:51" ht="27.6">
      <c r="B7" s="509" t="s">
        <v>193</v>
      </c>
      <c r="C7" s="513"/>
      <c r="D7" s="109"/>
      <c r="G7" s="376"/>
      <c r="H7" s="375" t="s">
        <v>194</v>
      </c>
      <c r="I7" s="372" t="s">
        <v>194</v>
      </c>
      <c r="J7" s="376" t="s">
        <v>194</v>
      </c>
      <c r="K7" s="377" t="s">
        <v>195</v>
      </c>
      <c r="L7" s="372" t="s">
        <v>196</v>
      </c>
      <c r="M7" s="372" t="s">
        <v>197</v>
      </c>
      <c r="N7" s="372" t="s">
        <v>198</v>
      </c>
      <c r="O7" s="378" t="s">
        <v>492</v>
      </c>
      <c r="P7" s="475" t="s">
        <v>493</v>
      </c>
      <c r="Q7" s="244"/>
      <c r="R7" s="273"/>
      <c r="S7"/>
      <c r="T7" s="270" t="s">
        <v>480</v>
      </c>
      <c r="U7" s="117" t="str">
        <f ca="1">IF(_xlfn.XLOOKUP(U4,$K$8:$K$37,$G$8:$G$37)&gt;0,_xlfn.XLOOKUP(U4,$K$8:$K$37,$M$8:$M$37),"")</f>
        <v/>
      </c>
      <c r="V7" s="117" t="str">
        <f t="shared" ref="V7:AX7" ca="1" si="2">IF(_xlfn.XLOOKUP(V4,$K$8:$K$37,$G$8:$G$37)&gt;0,_xlfn.XLOOKUP(V4,$K$8:$K$37,$M$8:$M$37),"")</f>
        <v/>
      </c>
      <c r="W7" s="117" t="str">
        <f t="shared" ca="1" si="2"/>
        <v/>
      </c>
      <c r="X7" s="117" t="str">
        <f t="shared" ca="1" si="2"/>
        <v/>
      </c>
      <c r="Y7" s="117" t="str">
        <f t="shared" ca="1" si="2"/>
        <v/>
      </c>
      <c r="Z7" s="294" t="str">
        <f t="shared" ca="1" si="2"/>
        <v/>
      </c>
      <c r="AA7" s="117" t="str">
        <f t="shared" ca="1" si="2"/>
        <v/>
      </c>
      <c r="AB7" s="117" t="str">
        <f t="shared" ca="1" si="2"/>
        <v/>
      </c>
      <c r="AC7" s="117">
        <f t="shared" ca="1" si="2"/>
        <v>0.8</v>
      </c>
      <c r="AD7" s="117" t="str">
        <f t="shared" ca="1" si="2"/>
        <v/>
      </c>
      <c r="AE7" s="117" t="str">
        <f t="shared" ca="1" si="2"/>
        <v/>
      </c>
      <c r="AF7" s="294" t="str">
        <f t="shared" ca="1" si="2"/>
        <v/>
      </c>
      <c r="AG7" s="117" t="str">
        <f t="shared" ca="1" si="2"/>
        <v/>
      </c>
      <c r="AH7" s="117" t="str">
        <f t="shared" ca="1" si="2"/>
        <v/>
      </c>
      <c r="AI7" s="117" t="str">
        <f t="shared" ca="1" si="2"/>
        <v/>
      </c>
      <c r="AJ7" s="117" t="str">
        <f t="shared" ca="1" si="2"/>
        <v/>
      </c>
      <c r="AK7" s="117" t="str">
        <f t="shared" ca="1" si="2"/>
        <v/>
      </c>
      <c r="AL7" s="294" t="str">
        <f t="shared" ca="1" si="2"/>
        <v/>
      </c>
      <c r="AM7" s="117" t="str">
        <f t="shared" ca="1" si="2"/>
        <v/>
      </c>
      <c r="AN7" s="117" t="str">
        <f t="shared" ca="1" si="2"/>
        <v/>
      </c>
      <c r="AO7" s="117" t="str">
        <f t="shared" ca="1" si="2"/>
        <v/>
      </c>
      <c r="AP7" s="117" t="str">
        <f t="shared" ca="1" si="2"/>
        <v/>
      </c>
      <c r="AQ7" s="117" t="str">
        <f t="shared" ca="1" si="2"/>
        <v/>
      </c>
      <c r="AR7" s="294" t="str">
        <f t="shared" ca="1" si="2"/>
        <v/>
      </c>
      <c r="AS7" s="117" t="str">
        <f t="shared" ca="1" si="2"/>
        <v/>
      </c>
      <c r="AT7" s="117" t="str">
        <f t="shared" ca="1" si="2"/>
        <v/>
      </c>
      <c r="AU7" s="117" t="str">
        <f t="shared" ca="1" si="2"/>
        <v/>
      </c>
      <c r="AV7" s="117" t="str">
        <f t="shared" ca="1" si="2"/>
        <v/>
      </c>
      <c r="AW7" s="117" t="str">
        <f t="shared" ca="1" si="2"/>
        <v/>
      </c>
      <c r="AX7" s="117" t="str">
        <f t="shared" ca="1" si="2"/>
        <v/>
      </c>
      <c r="AY7" s="114"/>
    </row>
    <row r="8" spans="1:51" ht="28.9">
      <c r="B8" s="509" t="s">
        <v>202</v>
      </c>
      <c r="C8" s="514" t="s">
        <v>203</v>
      </c>
      <c r="D8" s="474"/>
      <c r="G8" s="406">
        <f t="shared" ref="G8:G13" ca="1" si="3">IF(ISBLANK(OFFSET(G8,0,$J$3)),$H8,OFFSET(G8,0,$J$3))</f>
        <v>0</v>
      </c>
      <c r="H8" s="679">
        <v>0</v>
      </c>
      <c r="I8" s="587">
        <v>0</v>
      </c>
      <c r="J8" s="588">
        <v>0</v>
      </c>
      <c r="K8" s="379" t="s">
        <v>204</v>
      </c>
      <c r="L8" s="235">
        <v>0</v>
      </c>
      <c r="M8" s="380">
        <v>0.5</v>
      </c>
      <c r="N8" s="682">
        <v>190000</v>
      </c>
      <c r="O8" s="381" t="str">
        <f t="shared" ref="O8:O37" ca="1" si="4">_xlfn.XLOOKUP(K8,$U$4:$AX$4,$U$25:$AX$25)</f>
        <v/>
      </c>
      <c r="P8" s="475" t="str" cm="1">
        <f t="array" aca="1" ref="P8:P37" ca="1">TRANSPOSE(U21:AX21)</f>
        <v/>
      </c>
      <c r="Q8" s="127"/>
      <c r="R8" s="273"/>
      <c r="S8"/>
      <c r="T8" s="270" t="s">
        <v>481</v>
      </c>
      <c r="U8" s="160" t="str">
        <f ca="1">IF(_xlfn.XLOOKUP(U4,$K$8:$K$37,$G$8:$G$37)&gt;0,VLOOKUP(U7,'Income Limits (Reference Tab)'!$B$13:$G$19,U6+1),"")</f>
        <v/>
      </c>
      <c r="V8" s="160" t="str">
        <f ca="1">IF(_xlfn.XLOOKUP(V4,$K$8:$K$37,$G$8:$G$37)&gt;0,VLOOKUP(V7,'Income Limits (Reference Tab)'!$B$13:$G$19,V6+1),"")</f>
        <v/>
      </c>
      <c r="W8" s="160" t="str">
        <f ca="1">IF(_xlfn.XLOOKUP(W4,$K$8:$K$37,$G$8:$G$37)&gt;0,VLOOKUP(W7,'Income Limits (Reference Tab)'!$B$13:$G$19,W6+1),"")</f>
        <v/>
      </c>
      <c r="X8" s="160" t="str">
        <f ca="1">IF(_xlfn.XLOOKUP(X4,$K$8:$K$37,$G$8:$G$37)&gt;0,VLOOKUP(X7,'Income Limits (Reference Tab)'!$B$13:$G$19,X6+1),"")</f>
        <v/>
      </c>
      <c r="Y8" s="160" t="str">
        <f ca="1">IF(_xlfn.XLOOKUP(Y4,$K$8:$K$37,$G$8:$G$37)&gt;0,VLOOKUP(Y7,'Income Limits (Reference Tab)'!$B$13:$G$19,Y6+1),"")</f>
        <v/>
      </c>
      <c r="Z8" s="292" t="str">
        <f ca="1">IF(_xlfn.XLOOKUP(Z4,$K$8:$K$37,$G$8:$G$37)&gt;0,VLOOKUP(Z7,'Income Limits (Reference Tab)'!$B$13:$G$19,Z6+1),"")</f>
        <v/>
      </c>
      <c r="AA8" s="160" t="str">
        <f ca="1">IF(_xlfn.XLOOKUP(AA4,$K$8:$K$37,$G$8:$G$37)&gt;0,VLOOKUP(AA7,'Income Limits (Reference Tab)'!$B$13:$G$19,AA6+1),"")</f>
        <v/>
      </c>
      <c r="AB8" s="160" t="str">
        <f ca="1">IF(_xlfn.XLOOKUP(AB4,$K$8:$K$37,$G$8:$G$37)&gt;0,VLOOKUP(AB7,'Income Limits (Reference Tab)'!$B$13:$G$19,AB6+1),"")</f>
        <v/>
      </c>
      <c r="AC8" s="160">
        <f ca="1">IF(_xlfn.XLOOKUP(AC4,$K$8:$K$37,$G$8:$G$37)&gt;0,VLOOKUP(AC7,'Income Limits (Reference Tab)'!$B$13:$G$19,AC6+1),"")</f>
        <v>74880</v>
      </c>
      <c r="AD8" s="160" t="str">
        <f ca="1">IF(_xlfn.XLOOKUP(AD4,$K$8:$K$37,$G$8:$G$37)&gt;0,VLOOKUP(AD7,'Income Limits (Reference Tab)'!$B$13:$G$19,AD6+1),"")</f>
        <v/>
      </c>
      <c r="AE8" s="160" t="str">
        <f ca="1">IF(_xlfn.XLOOKUP(AE4,$K$8:$K$37,$G$8:$G$37)&gt;0,VLOOKUP(AE7,'Income Limits (Reference Tab)'!$B$13:$G$19,AE6+1),"")</f>
        <v/>
      </c>
      <c r="AF8" s="292" t="str">
        <f ca="1">IF(_xlfn.XLOOKUP(AF4,$K$8:$K$37,$G$8:$G$37)&gt;0,VLOOKUP(AF7,'Income Limits (Reference Tab)'!$B$13:$G$19,AF6+1),"")</f>
        <v/>
      </c>
      <c r="AG8" s="160" t="str">
        <f ca="1">IF(_xlfn.XLOOKUP(AG4,$K$8:$K$37,$G$8:$G$37)&gt;0,VLOOKUP(AG7,'Income Limits (Reference Tab)'!$B$13:$G$19,AG6+1),"")</f>
        <v/>
      </c>
      <c r="AH8" s="160" t="str">
        <f ca="1">IF(_xlfn.XLOOKUP(AH4,$K$8:$K$37,$G$8:$G$37)&gt;0,VLOOKUP(AH7,'Income Limits (Reference Tab)'!$B$13:$G$19,AH6+1),"")</f>
        <v/>
      </c>
      <c r="AI8" s="160" t="str">
        <f ca="1">IF(_xlfn.XLOOKUP(AI4,$K$8:$K$37,$G$8:$G$37)&gt;0,VLOOKUP(AI7,'Income Limits (Reference Tab)'!$B$13:$G$19,AI6+1),"")</f>
        <v/>
      </c>
      <c r="AJ8" s="160" t="str">
        <f ca="1">IF(_xlfn.XLOOKUP(AJ4,$K$8:$K$37,$G$8:$G$37)&gt;0,VLOOKUP(AJ7,'Income Limits (Reference Tab)'!$B$13:$G$19,AJ6+1),"")</f>
        <v/>
      </c>
      <c r="AK8" s="160" t="str">
        <f ca="1">IF(_xlfn.XLOOKUP(AK4,$K$8:$K$37,$G$8:$G$37)&gt;0,VLOOKUP(AK7,'Income Limits (Reference Tab)'!$B$13:$G$19,AK6+1),"")</f>
        <v/>
      </c>
      <c r="AL8" s="292" t="str">
        <f ca="1">IF(_xlfn.XLOOKUP(AL4,$K$8:$K$37,$G$8:$G$37)&gt;0,VLOOKUP(AL7,'Income Limits (Reference Tab)'!$B$13:$G$19,AL6+1),"")</f>
        <v/>
      </c>
      <c r="AM8" s="160" t="str">
        <f ca="1">IF(_xlfn.XLOOKUP(AM4,$K$8:$K$37,$G$8:$G$37)&gt;0,VLOOKUP(AM7,'Income Limits (Reference Tab)'!$B$13:$G$19,AM6+1),"")</f>
        <v/>
      </c>
      <c r="AN8" s="160" t="str">
        <f ca="1">IF(_xlfn.XLOOKUP(AN4,$K$8:$K$37,$G$8:$G$37)&gt;0,VLOOKUP(AN7,'Income Limits (Reference Tab)'!$B$13:$G$19,AN6+1),"")</f>
        <v/>
      </c>
      <c r="AO8" s="160" t="str">
        <f ca="1">IF(_xlfn.XLOOKUP(AO4,$K$8:$K$37,$G$8:$G$37)&gt;0,VLOOKUP(AO7,'Income Limits (Reference Tab)'!$B$13:$G$19,AO6+1),"")</f>
        <v/>
      </c>
      <c r="AP8" s="160" t="str">
        <f ca="1">IF(_xlfn.XLOOKUP(AP4,$K$8:$K$37,$G$8:$G$37)&gt;0,VLOOKUP(AP7,'Income Limits (Reference Tab)'!$B$13:$G$19,AP6+1),"")</f>
        <v/>
      </c>
      <c r="AQ8" s="160" t="str">
        <f ca="1">IF(_xlfn.XLOOKUP(AQ4,$K$8:$K$37,$G$8:$G$37)&gt;0,VLOOKUP(AQ7,'Income Limits (Reference Tab)'!$B$13:$G$19,AQ6+1),"")</f>
        <v/>
      </c>
      <c r="AR8" s="292" t="str">
        <f ca="1">IF(_xlfn.XLOOKUP(AR4,$K$8:$K$37,$G$8:$G$37)&gt;0,VLOOKUP(AR7,'Income Limits (Reference Tab)'!$B$13:$G$19,AR6+1),"")</f>
        <v/>
      </c>
      <c r="AS8" s="160" t="str">
        <f ca="1">IF(_xlfn.XLOOKUP(AS4,$K$8:$K$37,$G$8:$G$37)&gt;0,VLOOKUP(AS7,'Income Limits (Reference Tab)'!$B$13:$G$19,AS6+1),"")</f>
        <v/>
      </c>
      <c r="AT8" s="160" t="str">
        <f ca="1">IF(_xlfn.XLOOKUP(AT4,$K$8:$K$37,$G$8:$G$37)&gt;0,VLOOKUP(AT7,'Income Limits (Reference Tab)'!$B$13:$G$19,AT6+1),"")</f>
        <v/>
      </c>
      <c r="AU8" s="160" t="str">
        <f ca="1">IF(_xlfn.XLOOKUP(AU4,$K$8:$K$37,$G$8:$G$37)&gt;0,VLOOKUP(AU7,'Income Limits (Reference Tab)'!$B$13:$G$19,AU6+1),"")</f>
        <v/>
      </c>
      <c r="AV8" s="160" t="str">
        <f ca="1">IF(_xlfn.XLOOKUP(AV4,$K$8:$K$37,$G$8:$G$37)&gt;0,VLOOKUP(AV7,'Income Limits (Reference Tab)'!$B$13:$G$19,AV6+1),"")</f>
        <v/>
      </c>
      <c r="AW8" s="160" t="str">
        <f ca="1">IF(_xlfn.XLOOKUP(AW4,$K$8:$K$37,$G$8:$G$37)&gt;0,VLOOKUP(AW7,'Income Limits (Reference Tab)'!$B$13:$G$19,AW6+1),"")</f>
        <v/>
      </c>
      <c r="AX8" s="160" t="str">
        <f ca="1">IF(_xlfn.XLOOKUP(AX4,$K$8:$K$37,$G$8:$G$37)&gt;0,VLOOKUP(AX7,'Income Limits (Reference Tab)'!$B$13:$G$19,AX6+1),"")</f>
        <v/>
      </c>
      <c r="AY8" s="114"/>
    </row>
    <row r="9" spans="1:51" ht="31.9" thickBot="1">
      <c r="B9" s="515" t="s">
        <v>207</v>
      </c>
      <c r="C9" s="516" t="s">
        <v>208</v>
      </c>
      <c r="E9" s="473"/>
      <c r="G9" s="373">
        <f t="shared" ca="1" si="3"/>
        <v>0</v>
      </c>
      <c r="H9" s="680">
        <v>0</v>
      </c>
      <c r="I9" s="590">
        <v>0</v>
      </c>
      <c r="J9" s="591">
        <v>0</v>
      </c>
      <c r="K9" s="125" t="s">
        <v>209</v>
      </c>
      <c r="L9" s="55">
        <v>0</v>
      </c>
      <c r="M9" s="126">
        <v>0.6</v>
      </c>
      <c r="N9" s="132">
        <f>N8</f>
        <v>190000</v>
      </c>
      <c r="O9" s="367" t="str">
        <f t="shared" ca="1" si="4"/>
        <v/>
      </c>
      <c r="P9" s="476" t="str">
        <f ca="1"/>
        <v/>
      </c>
      <c r="Q9" s="127"/>
      <c r="R9" s="274" t="s">
        <v>482</v>
      </c>
      <c r="S9" s="677">
        <v>0.3</v>
      </c>
      <c r="T9" s="254" t="s">
        <v>483</v>
      </c>
      <c r="U9" s="275" t="str">
        <f ca="1">IFERROR($S$9*U8,"")</f>
        <v/>
      </c>
      <c r="V9" s="275" t="str">
        <f t="shared" ref="V9:AX9" ca="1" si="5">IFERROR($S$9*V8,"")</f>
        <v/>
      </c>
      <c r="W9" s="275" t="str">
        <f t="shared" ca="1" si="5"/>
        <v/>
      </c>
      <c r="X9" s="275" t="str">
        <f t="shared" ca="1" si="5"/>
        <v/>
      </c>
      <c r="Y9" s="275" t="str">
        <f t="shared" ca="1" si="5"/>
        <v/>
      </c>
      <c r="Z9" s="295" t="str">
        <f t="shared" ca="1" si="5"/>
        <v/>
      </c>
      <c r="AA9" s="275" t="str">
        <f t="shared" ca="1" si="5"/>
        <v/>
      </c>
      <c r="AB9" s="275" t="str">
        <f t="shared" ca="1" si="5"/>
        <v/>
      </c>
      <c r="AC9" s="275">
        <f t="shared" ca="1" si="5"/>
        <v>22464</v>
      </c>
      <c r="AD9" s="275" t="str">
        <f t="shared" ca="1" si="5"/>
        <v/>
      </c>
      <c r="AE9" s="275" t="str">
        <f t="shared" ca="1" si="5"/>
        <v/>
      </c>
      <c r="AF9" s="295" t="str">
        <f t="shared" ca="1" si="5"/>
        <v/>
      </c>
      <c r="AG9" s="275" t="str">
        <f t="shared" ca="1" si="5"/>
        <v/>
      </c>
      <c r="AH9" s="275" t="str">
        <f t="shared" ca="1" si="5"/>
        <v/>
      </c>
      <c r="AI9" s="275" t="str">
        <f t="shared" ca="1" si="5"/>
        <v/>
      </c>
      <c r="AJ9" s="275" t="str">
        <f t="shared" ca="1" si="5"/>
        <v/>
      </c>
      <c r="AK9" s="275" t="str">
        <f t="shared" ca="1" si="5"/>
        <v/>
      </c>
      <c r="AL9" s="295" t="str">
        <f t="shared" ca="1" si="5"/>
        <v/>
      </c>
      <c r="AM9" s="275" t="str">
        <f t="shared" ca="1" si="5"/>
        <v/>
      </c>
      <c r="AN9" s="275" t="str">
        <f t="shared" ca="1" si="5"/>
        <v/>
      </c>
      <c r="AO9" s="275" t="str">
        <f t="shared" ca="1" si="5"/>
        <v/>
      </c>
      <c r="AP9" s="275" t="str">
        <f t="shared" ca="1" si="5"/>
        <v/>
      </c>
      <c r="AQ9" s="275" t="str">
        <f t="shared" ca="1" si="5"/>
        <v/>
      </c>
      <c r="AR9" s="295" t="str">
        <f t="shared" ca="1" si="5"/>
        <v/>
      </c>
      <c r="AS9" s="275" t="str">
        <f t="shared" ca="1" si="5"/>
        <v/>
      </c>
      <c r="AT9" s="275" t="str">
        <f t="shared" ca="1" si="5"/>
        <v/>
      </c>
      <c r="AU9" s="275" t="str">
        <f t="shared" ca="1" si="5"/>
        <v/>
      </c>
      <c r="AV9" s="275" t="str">
        <f t="shared" ca="1" si="5"/>
        <v/>
      </c>
      <c r="AW9" s="275" t="str">
        <f t="shared" ca="1" si="5"/>
        <v/>
      </c>
      <c r="AX9" s="275" t="str">
        <f t="shared" ca="1" si="5"/>
        <v/>
      </c>
      <c r="AY9" s="114"/>
    </row>
    <row r="10" spans="1:51" ht="15.6">
      <c r="C10" s="55"/>
      <c r="E10" s="473"/>
      <c r="G10" s="373">
        <f t="shared" ca="1" si="3"/>
        <v>0</v>
      </c>
      <c r="H10" s="680">
        <v>0</v>
      </c>
      <c r="I10" s="590">
        <v>0</v>
      </c>
      <c r="J10" s="592">
        <v>0</v>
      </c>
      <c r="K10" s="125" t="s">
        <v>212</v>
      </c>
      <c r="L10" s="55">
        <v>0</v>
      </c>
      <c r="M10" s="126">
        <v>0.8</v>
      </c>
      <c r="N10" s="132">
        <f>N8</f>
        <v>190000</v>
      </c>
      <c r="O10" s="367" t="str">
        <f t="shared" ca="1" si="4"/>
        <v/>
      </c>
      <c r="P10" s="476" t="str">
        <f ca="1"/>
        <v/>
      </c>
      <c r="Q10" s="127"/>
      <c r="R10" s="276"/>
      <c r="S10"/>
      <c r="T10" s="270"/>
      <c r="U10" s="102"/>
      <c r="V10" s="102"/>
      <c r="W10" s="102"/>
      <c r="X10" s="102"/>
      <c r="Y10" s="102"/>
      <c r="Z10" s="293"/>
      <c r="AA10" s="102"/>
      <c r="AB10" s="102"/>
      <c r="AC10" s="102"/>
      <c r="AD10" s="102"/>
      <c r="AE10" s="102"/>
      <c r="AF10" s="293"/>
      <c r="AG10" s="102"/>
      <c r="AH10" s="102"/>
      <c r="AI10" s="102"/>
      <c r="AJ10" s="102"/>
      <c r="AK10" s="102"/>
      <c r="AL10" s="293"/>
      <c r="AM10" s="102"/>
      <c r="AN10" s="102"/>
      <c r="AO10" s="102"/>
      <c r="AP10" s="102"/>
      <c r="AQ10" s="102"/>
      <c r="AR10" s="293"/>
      <c r="AS10" s="102"/>
      <c r="AT10" s="102"/>
      <c r="AU10" s="102"/>
      <c r="AV10" s="102"/>
      <c r="AW10" s="102"/>
      <c r="AX10" s="102"/>
      <c r="AY10" s="114"/>
    </row>
    <row r="11" spans="1:51" ht="28.15">
      <c r="G11" s="373">
        <f t="shared" ca="1" si="3"/>
        <v>0</v>
      </c>
      <c r="H11" s="680">
        <v>0</v>
      </c>
      <c r="I11" s="590">
        <v>0</v>
      </c>
      <c r="J11" s="592">
        <v>0</v>
      </c>
      <c r="K11" s="125" t="s">
        <v>213</v>
      </c>
      <c r="L11" s="55">
        <v>0</v>
      </c>
      <c r="M11" s="126">
        <v>1</v>
      </c>
      <c r="N11" s="132">
        <f>N9</f>
        <v>190000</v>
      </c>
      <c r="O11" s="367" t="str">
        <f t="shared" ca="1" si="4"/>
        <v/>
      </c>
      <c r="P11" s="476" t="str">
        <f ca="1"/>
        <v/>
      </c>
      <c r="Q11" s="127"/>
      <c r="R11" s="274" t="s">
        <v>494</v>
      </c>
      <c r="S11" s="684">
        <v>1.24E-2</v>
      </c>
      <c r="T11" s="270" t="s">
        <v>495</v>
      </c>
      <c r="U11" s="160" t="str">
        <f t="shared" ref="U11:AX11" ca="1" si="6">IF(_xlfn.XLOOKUP(U4,$K$8:$K$37,$G$8:$G$37)&gt;0,$S11*_xlfn.XLOOKUP(U$4,$K$8:$K$37,$N$8:$N$37),"")</f>
        <v/>
      </c>
      <c r="V11" s="160" t="str">
        <f t="shared" ca="1" si="6"/>
        <v/>
      </c>
      <c r="W11" s="160" t="str">
        <f t="shared" ca="1" si="6"/>
        <v/>
      </c>
      <c r="X11" s="160" t="str">
        <f t="shared" ca="1" si="6"/>
        <v/>
      </c>
      <c r="Y11" s="160" t="str">
        <f t="shared" ca="1" si="6"/>
        <v/>
      </c>
      <c r="Z11" s="292" t="str">
        <f t="shared" ca="1" si="6"/>
        <v/>
      </c>
      <c r="AA11" s="160" t="str">
        <f t="shared" ca="1" si="6"/>
        <v/>
      </c>
      <c r="AB11" s="160" t="str">
        <f t="shared" ca="1" si="6"/>
        <v/>
      </c>
      <c r="AC11" s="160">
        <f t="shared" ca="1" si="6"/>
        <v>3410</v>
      </c>
      <c r="AD11" s="160" t="str">
        <f t="shared" ca="1" si="6"/>
        <v/>
      </c>
      <c r="AE11" s="160" t="str">
        <f t="shared" ca="1" si="6"/>
        <v/>
      </c>
      <c r="AF11" s="292" t="str">
        <f t="shared" ca="1" si="6"/>
        <v/>
      </c>
      <c r="AG11" s="160" t="str">
        <f t="shared" ca="1" si="6"/>
        <v/>
      </c>
      <c r="AH11" s="160" t="str">
        <f t="shared" ca="1" si="6"/>
        <v/>
      </c>
      <c r="AI11" s="160" t="str">
        <f t="shared" ca="1" si="6"/>
        <v/>
      </c>
      <c r="AJ11" s="160" t="str">
        <f t="shared" ca="1" si="6"/>
        <v/>
      </c>
      <c r="AK11" s="160" t="str">
        <f t="shared" ca="1" si="6"/>
        <v/>
      </c>
      <c r="AL11" s="292" t="str">
        <f t="shared" ca="1" si="6"/>
        <v/>
      </c>
      <c r="AM11" s="160" t="str">
        <f t="shared" ca="1" si="6"/>
        <v/>
      </c>
      <c r="AN11" s="160" t="str">
        <f t="shared" ca="1" si="6"/>
        <v/>
      </c>
      <c r="AO11" s="160" t="str">
        <f t="shared" ca="1" si="6"/>
        <v/>
      </c>
      <c r="AP11" s="160" t="str">
        <f t="shared" ca="1" si="6"/>
        <v/>
      </c>
      <c r="AQ11" s="160" t="str">
        <f t="shared" ca="1" si="6"/>
        <v/>
      </c>
      <c r="AR11" s="292" t="str">
        <f t="shared" ca="1" si="6"/>
        <v/>
      </c>
      <c r="AS11" s="160" t="str">
        <f t="shared" ca="1" si="6"/>
        <v/>
      </c>
      <c r="AT11" s="160" t="str">
        <f t="shared" ca="1" si="6"/>
        <v/>
      </c>
      <c r="AU11" s="160" t="str">
        <f t="shared" ca="1" si="6"/>
        <v/>
      </c>
      <c r="AV11" s="160" t="str">
        <f t="shared" ca="1" si="6"/>
        <v/>
      </c>
      <c r="AW11" s="160" t="str">
        <f t="shared" ca="1" si="6"/>
        <v/>
      </c>
      <c r="AX11" s="160" t="str">
        <f t="shared" ca="1" si="6"/>
        <v/>
      </c>
      <c r="AY11" s="114"/>
    </row>
    <row r="12" spans="1:51" ht="28.15">
      <c r="B12" s="103" t="s">
        <v>216</v>
      </c>
      <c r="C12" s="104"/>
      <c r="D12" s="104"/>
      <c r="E12" s="105"/>
      <c r="G12" s="373">
        <f t="shared" ca="1" si="3"/>
        <v>0</v>
      </c>
      <c r="H12" s="680">
        <v>0</v>
      </c>
      <c r="I12" s="590">
        <v>0</v>
      </c>
      <c r="J12" s="592">
        <v>0</v>
      </c>
      <c r="K12" s="125" t="s">
        <v>217</v>
      </c>
      <c r="L12" s="55">
        <v>0</v>
      </c>
      <c r="M12" s="126">
        <v>1.2</v>
      </c>
      <c r="N12" s="132">
        <f>N10</f>
        <v>190000</v>
      </c>
      <c r="O12" s="367" t="str">
        <f t="shared" ca="1" si="4"/>
        <v/>
      </c>
      <c r="P12" s="476" t="str">
        <f ca="1"/>
        <v/>
      </c>
      <c r="Q12" s="127"/>
      <c r="R12" s="274" t="s">
        <v>494</v>
      </c>
      <c r="S12" s="685">
        <v>5.0000000000000001E-3</v>
      </c>
      <c r="T12" s="270" t="s">
        <v>496</v>
      </c>
      <c r="U12" s="160" t="str">
        <f t="shared" ref="U12:AX12" ca="1" si="7">IF(_xlfn.XLOOKUP(U4,$K$8:$K$37,$G$8:$G$37)&gt;0,$S12*_xlfn.XLOOKUP(U$4,$K$8:$K$37,$N$8:$N$37),"")</f>
        <v/>
      </c>
      <c r="V12" s="160" t="str">
        <f t="shared" ca="1" si="7"/>
        <v/>
      </c>
      <c r="W12" s="160" t="str">
        <f t="shared" ca="1" si="7"/>
        <v/>
      </c>
      <c r="X12" s="160" t="str">
        <f t="shared" ca="1" si="7"/>
        <v/>
      </c>
      <c r="Y12" s="160" t="str">
        <f t="shared" ca="1" si="7"/>
        <v/>
      </c>
      <c r="Z12" s="292" t="str">
        <f t="shared" ca="1" si="7"/>
        <v/>
      </c>
      <c r="AA12" s="160" t="str">
        <f t="shared" ca="1" si="7"/>
        <v/>
      </c>
      <c r="AB12" s="160" t="str">
        <f t="shared" ca="1" si="7"/>
        <v/>
      </c>
      <c r="AC12" s="160">
        <f t="shared" ca="1" si="7"/>
        <v>1375</v>
      </c>
      <c r="AD12" s="160" t="str">
        <f t="shared" ca="1" si="7"/>
        <v/>
      </c>
      <c r="AE12" s="160" t="str">
        <f t="shared" ca="1" si="7"/>
        <v/>
      </c>
      <c r="AF12" s="292" t="str">
        <f t="shared" ca="1" si="7"/>
        <v/>
      </c>
      <c r="AG12" s="160" t="str">
        <f t="shared" ca="1" si="7"/>
        <v/>
      </c>
      <c r="AH12" s="160" t="str">
        <f t="shared" ca="1" si="7"/>
        <v/>
      </c>
      <c r="AI12" s="160" t="str">
        <f t="shared" ca="1" si="7"/>
        <v/>
      </c>
      <c r="AJ12" s="160" t="str">
        <f t="shared" ca="1" si="7"/>
        <v/>
      </c>
      <c r="AK12" s="160" t="str">
        <f t="shared" ca="1" si="7"/>
        <v/>
      </c>
      <c r="AL12" s="292" t="str">
        <f t="shared" ca="1" si="7"/>
        <v/>
      </c>
      <c r="AM12" s="160" t="str">
        <f t="shared" ca="1" si="7"/>
        <v/>
      </c>
      <c r="AN12" s="160" t="str">
        <f t="shared" ca="1" si="7"/>
        <v/>
      </c>
      <c r="AO12" s="160" t="str">
        <f t="shared" ca="1" si="7"/>
        <v/>
      </c>
      <c r="AP12" s="160" t="str">
        <f t="shared" ca="1" si="7"/>
        <v/>
      </c>
      <c r="AQ12" s="160" t="str">
        <f t="shared" ca="1" si="7"/>
        <v/>
      </c>
      <c r="AR12" s="292" t="str">
        <f t="shared" ca="1" si="7"/>
        <v/>
      </c>
      <c r="AS12" s="160" t="str">
        <f t="shared" ca="1" si="7"/>
        <v/>
      </c>
      <c r="AT12" s="160" t="str">
        <f t="shared" ca="1" si="7"/>
        <v/>
      </c>
      <c r="AU12" s="160" t="str">
        <f t="shared" ca="1" si="7"/>
        <v/>
      </c>
      <c r="AV12" s="160" t="str">
        <f t="shared" ca="1" si="7"/>
        <v/>
      </c>
      <c r="AW12" s="160" t="str">
        <f t="shared" ca="1" si="7"/>
        <v/>
      </c>
      <c r="AX12" s="160" t="str">
        <f t="shared" ca="1" si="7"/>
        <v/>
      </c>
      <c r="AY12" s="114"/>
    </row>
    <row r="13" spans="1:51" ht="15.6">
      <c r="B13" s="462" t="s">
        <v>221</v>
      </c>
      <c r="C13" s="463" t="s">
        <v>222</v>
      </c>
      <c r="D13" s="463" t="s">
        <v>223</v>
      </c>
      <c r="E13" s="464" t="s">
        <v>224</v>
      </c>
      <c r="F13" s="108"/>
      <c r="G13" s="374">
        <f t="shared" ca="1" si="3"/>
        <v>0</v>
      </c>
      <c r="H13" s="681">
        <v>0</v>
      </c>
      <c r="I13" s="597">
        <v>0</v>
      </c>
      <c r="J13" s="598">
        <v>0</v>
      </c>
      <c r="K13" s="407" t="s">
        <v>225</v>
      </c>
      <c r="L13" s="327">
        <v>0</v>
      </c>
      <c r="M13" s="327" t="s">
        <v>218</v>
      </c>
      <c r="N13" s="408">
        <f>N9</f>
        <v>190000</v>
      </c>
      <c r="O13" s="409" t="str">
        <f t="shared" ca="1" si="4"/>
        <v/>
      </c>
      <c r="P13" s="476" t="str">
        <f ca="1"/>
        <v/>
      </c>
      <c r="Q13" s="127"/>
      <c r="R13" s="274" t="s">
        <v>497</v>
      </c>
      <c r="S13" s="605">
        <v>25</v>
      </c>
      <c r="T13" s="270" t="s">
        <v>499</v>
      </c>
      <c r="U13" s="160" t="str">
        <f t="shared" ref="U13:AJ14" ca="1" si="8">IF(_xlfn.XLOOKUP(U$4,$K$8:$K$37,$G$8:$G$37)&gt;0,$S13*12,"")</f>
        <v/>
      </c>
      <c r="V13" s="160" t="str">
        <f t="shared" ca="1" si="8"/>
        <v/>
      </c>
      <c r="W13" s="160" t="str">
        <f t="shared" ca="1" si="8"/>
        <v/>
      </c>
      <c r="X13" s="160" t="str">
        <f t="shared" ca="1" si="8"/>
        <v/>
      </c>
      <c r="Y13" s="160" t="str">
        <f t="shared" ca="1" si="8"/>
        <v/>
      </c>
      <c r="Z13" s="292" t="str">
        <f t="shared" ca="1" si="8"/>
        <v/>
      </c>
      <c r="AA13" s="160" t="str">
        <f t="shared" ca="1" si="8"/>
        <v/>
      </c>
      <c r="AB13" s="160" t="str">
        <f t="shared" ca="1" si="8"/>
        <v/>
      </c>
      <c r="AC13" s="160">
        <f t="shared" ca="1" si="8"/>
        <v>300</v>
      </c>
      <c r="AD13" s="160" t="str">
        <f t="shared" ca="1" si="8"/>
        <v/>
      </c>
      <c r="AE13" s="160" t="str">
        <f t="shared" ca="1" si="8"/>
        <v/>
      </c>
      <c r="AF13" s="292" t="str">
        <f t="shared" ca="1" si="8"/>
        <v/>
      </c>
      <c r="AG13" s="160" t="str">
        <f t="shared" ca="1" si="8"/>
        <v/>
      </c>
      <c r="AH13" s="160" t="str">
        <f t="shared" ca="1" si="8"/>
        <v/>
      </c>
      <c r="AI13" s="160" t="str">
        <f t="shared" ca="1" si="8"/>
        <v/>
      </c>
      <c r="AJ13" s="160" t="str">
        <f t="shared" ca="1" si="8"/>
        <v/>
      </c>
      <c r="AK13" s="160" t="str">
        <f t="shared" ref="AK13:AX14" ca="1" si="9">IF(_xlfn.XLOOKUP(AK$4,$K$8:$K$37,$G$8:$G$37)&gt;0,$S13*12,"")</f>
        <v/>
      </c>
      <c r="AL13" s="292" t="str">
        <f t="shared" ca="1" si="9"/>
        <v/>
      </c>
      <c r="AM13" s="160" t="str">
        <f t="shared" ca="1" si="9"/>
        <v/>
      </c>
      <c r="AN13" s="160" t="str">
        <f t="shared" ca="1" si="9"/>
        <v/>
      </c>
      <c r="AO13" s="160" t="str">
        <f t="shared" ca="1" si="9"/>
        <v/>
      </c>
      <c r="AP13" s="160" t="str">
        <f t="shared" ca="1" si="9"/>
        <v/>
      </c>
      <c r="AQ13" s="160" t="str">
        <f t="shared" ca="1" si="9"/>
        <v/>
      </c>
      <c r="AR13" s="292" t="str">
        <f t="shared" ca="1" si="9"/>
        <v/>
      </c>
      <c r="AS13" s="160" t="str">
        <f t="shared" ca="1" si="9"/>
        <v/>
      </c>
      <c r="AT13" s="160" t="str">
        <f t="shared" ca="1" si="9"/>
        <v/>
      </c>
      <c r="AU13" s="160" t="str">
        <f t="shared" ca="1" si="9"/>
        <v/>
      </c>
      <c r="AV13" s="160" t="str">
        <f t="shared" ca="1" si="9"/>
        <v/>
      </c>
      <c r="AW13" s="160" t="str">
        <f t="shared" ca="1" si="9"/>
        <v/>
      </c>
      <c r="AX13" s="160" t="str">
        <f t="shared" ca="1" si="9"/>
        <v/>
      </c>
      <c r="AY13" s="114"/>
    </row>
    <row r="14" spans="1:51" ht="14.45">
      <c r="B14" s="96" t="s">
        <v>229</v>
      </c>
      <c r="C14" s="145">
        <f>I45</f>
        <v>500000</v>
      </c>
      <c r="D14" s="145">
        <f ca="1">IF($G$38&gt;0,C14/$G$38,0)</f>
        <v>500000</v>
      </c>
      <c r="E14" s="146">
        <f ca="1">C14/$C$18</f>
        <v>0.64497602231254048</v>
      </c>
      <c r="F14" s="117"/>
      <c r="G14" s="406">
        <f ca="1">IF(ISBLANK(OFFSET(G14,0,$J$3)),$H14,OFFSET(G14,0,$J$3))</f>
        <v>0</v>
      </c>
      <c r="H14" s="679">
        <v>0</v>
      </c>
      <c r="I14" s="587">
        <v>0</v>
      </c>
      <c r="J14" s="588">
        <v>0</v>
      </c>
      <c r="K14" s="379" t="s">
        <v>230</v>
      </c>
      <c r="L14" s="235">
        <v>1</v>
      </c>
      <c r="M14" s="380">
        <v>0.5</v>
      </c>
      <c r="N14" s="602">
        <v>275000</v>
      </c>
      <c r="O14" s="381" t="str">
        <f t="shared" ca="1" si="4"/>
        <v/>
      </c>
      <c r="P14" s="477" t="str">
        <f ca="1"/>
        <v/>
      </c>
      <c r="Q14" s="127"/>
      <c r="R14" s="274" t="s">
        <v>497</v>
      </c>
      <c r="S14" s="605">
        <v>15</v>
      </c>
      <c r="T14" s="270" t="s">
        <v>257</v>
      </c>
      <c r="U14" s="160" t="str">
        <f t="shared" ca="1" si="8"/>
        <v/>
      </c>
      <c r="V14" s="160" t="str">
        <f t="shared" ca="1" si="8"/>
        <v/>
      </c>
      <c r="W14" s="160" t="str">
        <f t="shared" ca="1" si="8"/>
        <v/>
      </c>
      <c r="X14" s="160" t="str">
        <f t="shared" ca="1" si="8"/>
        <v/>
      </c>
      <c r="Y14" s="160" t="str">
        <f t="shared" ca="1" si="8"/>
        <v/>
      </c>
      <c r="Z14" s="292" t="str">
        <f t="shared" ca="1" si="8"/>
        <v/>
      </c>
      <c r="AA14" s="160" t="str">
        <f t="shared" ca="1" si="8"/>
        <v/>
      </c>
      <c r="AB14" s="160" t="str">
        <f t="shared" ca="1" si="8"/>
        <v/>
      </c>
      <c r="AC14" s="160">
        <f t="shared" ca="1" si="8"/>
        <v>180</v>
      </c>
      <c r="AD14" s="160" t="str">
        <f t="shared" ca="1" si="8"/>
        <v/>
      </c>
      <c r="AE14" s="160" t="str">
        <f t="shared" ca="1" si="8"/>
        <v/>
      </c>
      <c r="AF14" s="292" t="str">
        <f t="shared" ca="1" si="8"/>
        <v/>
      </c>
      <c r="AG14" s="160" t="str">
        <f t="shared" ca="1" si="8"/>
        <v/>
      </c>
      <c r="AH14" s="160" t="str">
        <f t="shared" ca="1" si="8"/>
        <v/>
      </c>
      <c r="AI14" s="160" t="str">
        <f t="shared" ca="1" si="8"/>
        <v/>
      </c>
      <c r="AJ14" s="160" t="str">
        <f t="shared" ca="1" si="8"/>
        <v/>
      </c>
      <c r="AK14" s="160" t="str">
        <f t="shared" ca="1" si="9"/>
        <v/>
      </c>
      <c r="AL14" s="292" t="str">
        <f t="shared" ca="1" si="9"/>
        <v/>
      </c>
      <c r="AM14" s="160" t="str">
        <f t="shared" ca="1" si="9"/>
        <v/>
      </c>
      <c r="AN14" s="160" t="str">
        <f t="shared" ca="1" si="9"/>
        <v/>
      </c>
      <c r="AO14" s="160" t="str">
        <f t="shared" ca="1" si="9"/>
        <v/>
      </c>
      <c r="AP14" s="160" t="str">
        <f t="shared" ca="1" si="9"/>
        <v/>
      </c>
      <c r="AQ14" s="160" t="str">
        <f t="shared" ca="1" si="9"/>
        <v/>
      </c>
      <c r="AR14" s="292" t="str">
        <f t="shared" ca="1" si="9"/>
        <v/>
      </c>
      <c r="AS14" s="160" t="str">
        <f t="shared" ca="1" si="9"/>
        <v/>
      </c>
      <c r="AT14" s="160" t="str">
        <f t="shared" ca="1" si="9"/>
        <v/>
      </c>
      <c r="AU14" s="160" t="str">
        <f t="shared" ca="1" si="9"/>
        <v/>
      </c>
      <c r="AV14" s="160" t="str">
        <f t="shared" ca="1" si="9"/>
        <v/>
      </c>
      <c r="AW14" s="160" t="str">
        <f t="shared" ca="1" si="9"/>
        <v/>
      </c>
      <c r="AX14" s="160" t="str">
        <f t="shared" ca="1" si="9"/>
        <v/>
      </c>
      <c r="AY14" s="114"/>
    </row>
    <row r="15" spans="1:51" ht="15.6">
      <c r="B15" s="91" t="s">
        <v>448</v>
      </c>
      <c r="C15" s="115">
        <f ca="1">I54</f>
        <v>64385.1</v>
      </c>
      <c r="D15" s="115">
        <f t="shared" ref="D15:D17" ca="1" si="10">IF($G$38&gt;0,C15/$G$38,0)</f>
        <v>64385.1</v>
      </c>
      <c r="E15" s="116">
        <f ca="1">C15/$C$18</f>
        <v>8.3053691388390291E-2</v>
      </c>
      <c r="F15" s="117"/>
      <c r="G15" s="373">
        <f t="shared" ref="G15:G37" ca="1" si="11">IF(ISBLANK(OFFSET(G15,0,$J$3)),$H15,OFFSET(G15,0,$J$3))</f>
        <v>0</v>
      </c>
      <c r="H15" s="680">
        <v>0</v>
      </c>
      <c r="I15" s="590">
        <v>1</v>
      </c>
      <c r="J15" s="591">
        <v>0</v>
      </c>
      <c r="K15" s="125" t="s">
        <v>235</v>
      </c>
      <c r="L15" s="55">
        <v>1</v>
      </c>
      <c r="M15" s="126">
        <v>0.6</v>
      </c>
      <c r="N15" s="132">
        <f>N14</f>
        <v>275000</v>
      </c>
      <c r="O15" s="367" t="str">
        <f t="shared" ca="1" si="4"/>
        <v/>
      </c>
      <c r="P15" s="477" t="str">
        <f ca="1"/>
        <v/>
      </c>
      <c r="Q15" s="127"/>
      <c r="R15" s="276"/>
      <c r="S15"/>
      <c r="T15" s="254" t="s">
        <v>501</v>
      </c>
      <c r="U15" s="275" t="str">
        <f t="shared" ref="U15:AX15" ca="1" si="12">IF(_xlfn.XLOOKUP(U4,$K$8:$K$37,$G$8:$G$37)&gt;0,SUM(U11:U14),"")</f>
        <v/>
      </c>
      <c r="V15" s="275" t="str">
        <f t="shared" ca="1" si="12"/>
        <v/>
      </c>
      <c r="W15" s="275" t="str">
        <f t="shared" ca="1" si="12"/>
        <v/>
      </c>
      <c r="X15" s="275" t="str">
        <f t="shared" ca="1" si="12"/>
        <v/>
      </c>
      <c r="Y15" s="275" t="str">
        <f t="shared" ca="1" si="12"/>
        <v/>
      </c>
      <c r="Z15" s="295" t="str">
        <f t="shared" ca="1" si="12"/>
        <v/>
      </c>
      <c r="AA15" s="275" t="str">
        <f t="shared" ca="1" si="12"/>
        <v/>
      </c>
      <c r="AB15" s="275" t="str">
        <f t="shared" ca="1" si="12"/>
        <v/>
      </c>
      <c r="AC15" s="275">
        <f t="shared" ca="1" si="12"/>
        <v>5265</v>
      </c>
      <c r="AD15" s="275" t="str">
        <f t="shared" ca="1" si="12"/>
        <v/>
      </c>
      <c r="AE15" s="275" t="str">
        <f t="shared" ca="1" si="12"/>
        <v/>
      </c>
      <c r="AF15" s="295" t="str">
        <f t="shared" ca="1" si="12"/>
        <v/>
      </c>
      <c r="AG15" s="275" t="str">
        <f t="shared" ca="1" si="12"/>
        <v/>
      </c>
      <c r="AH15" s="275" t="str">
        <f t="shared" ca="1" si="12"/>
        <v/>
      </c>
      <c r="AI15" s="275" t="str">
        <f t="shared" ca="1" si="12"/>
        <v/>
      </c>
      <c r="AJ15" s="275" t="str">
        <f t="shared" ca="1" si="12"/>
        <v/>
      </c>
      <c r="AK15" s="275" t="str">
        <f t="shared" ca="1" si="12"/>
        <v/>
      </c>
      <c r="AL15" s="295" t="str">
        <f t="shared" ca="1" si="12"/>
        <v/>
      </c>
      <c r="AM15" s="275" t="str">
        <f t="shared" ca="1" si="12"/>
        <v/>
      </c>
      <c r="AN15" s="275" t="str">
        <f t="shared" ca="1" si="12"/>
        <v/>
      </c>
      <c r="AO15" s="275" t="str">
        <f t="shared" ca="1" si="12"/>
        <v/>
      </c>
      <c r="AP15" s="275" t="str">
        <f t="shared" ca="1" si="12"/>
        <v/>
      </c>
      <c r="AQ15" s="275" t="str">
        <f t="shared" ca="1" si="12"/>
        <v/>
      </c>
      <c r="AR15" s="295" t="str">
        <f t="shared" ca="1" si="12"/>
        <v/>
      </c>
      <c r="AS15" s="275" t="str">
        <f t="shared" ca="1" si="12"/>
        <v/>
      </c>
      <c r="AT15" s="275" t="str">
        <f t="shared" ca="1" si="12"/>
        <v/>
      </c>
      <c r="AU15" s="275" t="str">
        <f t="shared" ca="1" si="12"/>
        <v/>
      </c>
      <c r="AV15" s="275" t="str">
        <f t="shared" ca="1" si="12"/>
        <v/>
      </c>
      <c r="AW15" s="275" t="str">
        <f t="shared" ca="1" si="12"/>
        <v/>
      </c>
      <c r="AX15" s="275" t="str">
        <f t="shared" ca="1" si="12"/>
        <v/>
      </c>
      <c r="AY15" s="114"/>
    </row>
    <row r="16" spans="1:51" ht="14.45">
      <c r="B16" s="91" t="s">
        <v>500</v>
      </c>
      <c r="C16" s="115">
        <f ca="1">I80</f>
        <v>203837.51712499998</v>
      </c>
      <c r="D16" s="115">
        <f t="shared" ca="1" si="10"/>
        <v>203837.51712499998</v>
      </c>
      <c r="E16" s="116">
        <f ca="1">C16/$C$18</f>
        <v>0.26294062198669366</v>
      </c>
      <c r="F16" s="117"/>
      <c r="G16" s="373">
        <f t="shared" ca="1" si="11"/>
        <v>1</v>
      </c>
      <c r="H16" s="680">
        <v>1</v>
      </c>
      <c r="I16" s="590">
        <v>0</v>
      </c>
      <c r="J16" s="592">
        <v>0</v>
      </c>
      <c r="K16" s="125" t="s">
        <v>239</v>
      </c>
      <c r="L16" s="55">
        <v>1</v>
      </c>
      <c r="M16" s="126">
        <v>0.8</v>
      </c>
      <c r="N16" s="132">
        <f>N14</f>
        <v>275000</v>
      </c>
      <c r="O16" s="367">
        <f t="shared" ca="1" si="4"/>
        <v>358697.78274057916</v>
      </c>
      <c r="P16" s="477">
        <f ca="1"/>
        <v>75000</v>
      </c>
      <c r="Q16" s="127"/>
      <c r="R16" s="273"/>
      <c r="S16"/>
      <c r="T16" s="270"/>
      <c r="U16" s="102"/>
      <c r="V16" s="102"/>
      <c r="W16" s="102"/>
      <c r="X16" s="102"/>
      <c r="Y16" s="102"/>
      <c r="Z16" s="293"/>
      <c r="AA16" s="102"/>
      <c r="AB16" s="102"/>
      <c r="AC16" s="102"/>
      <c r="AD16" s="102"/>
      <c r="AE16" s="102"/>
      <c r="AF16" s="293"/>
      <c r="AG16" s="102"/>
      <c r="AH16" s="102"/>
      <c r="AI16" s="102"/>
      <c r="AJ16" s="102"/>
      <c r="AK16" s="102"/>
      <c r="AL16" s="293"/>
      <c r="AM16" s="102"/>
      <c r="AN16" s="102"/>
      <c r="AO16" s="102"/>
      <c r="AP16" s="102"/>
      <c r="AQ16" s="102"/>
      <c r="AR16" s="293"/>
      <c r="AS16" s="102"/>
      <c r="AT16" s="102"/>
      <c r="AU16" s="102"/>
      <c r="AV16" s="102"/>
      <c r="AW16" s="102"/>
      <c r="AX16" s="102"/>
      <c r="AY16" s="114"/>
    </row>
    <row r="17" spans="1:53" ht="15" thickBot="1">
      <c r="B17" s="92" t="s">
        <v>449</v>
      </c>
      <c r="C17" s="123">
        <f>I84</f>
        <v>7000</v>
      </c>
      <c r="D17" s="123">
        <f t="shared" ca="1" si="10"/>
        <v>7000</v>
      </c>
      <c r="E17" s="124">
        <f ca="1">C17/$C$18</f>
        <v>9.0296643123755661E-3</v>
      </c>
      <c r="F17" s="117"/>
      <c r="G17" s="373">
        <f t="shared" ca="1" si="11"/>
        <v>0</v>
      </c>
      <c r="H17" s="680">
        <v>0</v>
      </c>
      <c r="I17" s="590">
        <v>0</v>
      </c>
      <c r="J17" s="592">
        <v>0</v>
      </c>
      <c r="K17" s="125" t="s">
        <v>243</v>
      </c>
      <c r="L17" s="55">
        <v>1</v>
      </c>
      <c r="M17" s="126">
        <v>1</v>
      </c>
      <c r="N17" s="132">
        <f>N15</f>
        <v>275000</v>
      </c>
      <c r="O17" s="367" t="str">
        <f t="shared" ca="1" si="4"/>
        <v/>
      </c>
      <c r="P17" s="477" t="str">
        <f ca="1"/>
        <v/>
      </c>
      <c r="Q17" s="127"/>
      <c r="R17" s="273"/>
      <c r="S17"/>
      <c r="T17" s="270" t="s">
        <v>502</v>
      </c>
      <c r="U17" s="160" t="str">
        <f t="shared" ref="U17:AX17" ca="1" si="13">IFERROR(U9-U15,"")</f>
        <v/>
      </c>
      <c r="V17" s="160" t="str">
        <f t="shared" ca="1" si="13"/>
        <v/>
      </c>
      <c r="W17" s="160" t="str">
        <f t="shared" ca="1" si="13"/>
        <v/>
      </c>
      <c r="X17" s="160" t="str">
        <f t="shared" ca="1" si="13"/>
        <v/>
      </c>
      <c r="Y17" s="160" t="str">
        <f t="shared" ca="1" si="13"/>
        <v/>
      </c>
      <c r="Z17" s="292" t="str">
        <f t="shared" ca="1" si="13"/>
        <v/>
      </c>
      <c r="AA17" s="160" t="str">
        <f t="shared" ca="1" si="13"/>
        <v/>
      </c>
      <c r="AB17" s="160" t="str">
        <f t="shared" ca="1" si="13"/>
        <v/>
      </c>
      <c r="AC17" s="160">
        <f t="shared" ca="1" si="13"/>
        <v>17199</v>
      </c>
      <c r="AD17" s="160" t="str">
        <f t="shared" ca="1" si="13"/>
        <v/>
      </c>
      <c r="AE17" s="160" t="str">
        <f t="shared" ca="1" si="13"/>
        <v/>
      </c>
      <c r="AF17" s="292" t="str">
        <f t="shared" ca="1" si="13"/>
        <v/>
      </c>
      <c r="AG17" s="160" t="str">
        <f t="shared" ca="1" si="13"/>
        <v/>
      </c>
      <c r="AH17" s="160" t="str">
        <f t="shared" ca="1" si="13"/>
        <v/>
      </c>
      <c r="AI17" s="160" t="str">
        <f t="shared" ca="1" si="13"/>
        <v/>
      </c>
      <c r="AJ17" s="160" t="str">
        <f t="shared" ca="1" si="13"/>
        <v/>
      </c>
      <c r="AK17" s="160" t="str">
        <f t="shared" ca="1" si="13"/>
        <v/>
      </c>
      <c r="AL17" s="292" t="str">
        <f t="shared" ca="1" si="13"/>
        <v/>
      </c>
      <c r="AM17" s="160" t="str">
        <f t="shared" ca="1" si="13"/>
        <v/>
      </c>
      <c r="AN17" s="160" t="str">
        <f t="shared" ca="1" si="13"/>
        <v/>
      </c>
      <c r="AO17" s="160" t="str">
        <f t="shared" ca="1" si="13"/>
        <v/>
      </c>
      <c r="AP17" s="160" t="str">
        <f t="shared" ca="1" si="13"/>
        <v/>
      </c>
      <c r="AQ17" s="160" t="str">
        <f t="shared" ca="1" si="13"/>
        <v/>
      </c>
      <c r="AR17" s="292" t="str">
        <f t="shared" ca="1" si="13"/>
        <v/>
      </c>
      <c r="AS17" s="160" t="str">
        <f t="shared" ca="1" si="13"/>
        <v/>
      </c>
      <c r="AT17" s="160" t="str">
        <f t="shared" ca="1" si="13"/>
        <v/>
      </c>
      <c r="AU17" s="160" t="str">
        <f t="shared" ca="1" si="13"/>
        <v/>
      </c>
      <c r="AV17" s="160" t="str">
        <f t="shared" ca="1" si="13"/>
        <v/>
      </c>
      <c r="AW17" s="160" t="str">
        <f t="shared" ca="1" si="13"/>
        <v/>
      </c>
      <c r="AX17" s="160" t="str">
        <f t="shared" ca="1" si="13"/>
        <v/>
      </c>
      <c r="AY17" s="114"/>
    </row>
    <row r="18" spans="1:53" ht="26.65" customHeight="1" thickTop="1">
      <c r="B18" s="93" t="s">
        <v>242</v>
      </c>
      <c r="C18" s="130">
        <f ca="1">SUM(C14:C17)</f>
        <v>775222.61712499999</v>
      </c>
      <c r="D18" s="130">
        <f ca="1">SUM(D14:D17)</f>
        <v>775222.61712499999</v>
      </c>
      <c r="E18" s="308">
        <f ca="1">SUM(E14:E17)</f>
        <v>1</v>
      </c>
      <c r="F18" s="117"/>
      <c r="G18" s="373">
        <f t="shared" ca="1" si="11"/>
        <v>0</v>
      </c>
      <c r="H18" s="680">
        <v>0</v>
      </c>
      <c r="I18" s="590">
        <v>0</v>
      </c>
      <c r="J18" s="592">
        <v>0</v>
      </c>
      <c r="K18" s="125" t="s">
        <v>246</v>
      </c>
      <c r="L18" s="55">
        <v>1</v>
      </c>
      <c r="M18" s="126">
        <v>1.2</v>
      </c>
      <c r="N18" s="132">
        <f>N16</f>
        <v>275000</v>
      </c>
      <c r="O18" s="367" t="str">
        <f t="shared" ca="1" si="4"/>
        <v/>
      </c>
      <c r="P18" s="477" t="str">
        <f ca="1"/>
        <v/>
      </c>
      <c r="Q18" s="127"/>
      <c r="R18" s="277" t="s">
        <v>503</v>
      </c>
      <c r="S18" s="685">
        <v>5.9990000000000002E-2</v>
      </c>
      <c r="T18" s="270" t="s">
        <v>504</v>
      </c>
      <c r="U18" s="278" t="str">
        <f t="shared" ref="U18:AX18" ca="1" si="14">IF(_xlfn.XLOOKUP(U4,$K$8:$K$37,$G$8:$G$37)&gt;0,$S$18,"")</f>
        <v/>
      </c>
      <c r="V18" s="278" t="str">
        <f t="shared" ca="1" si="14"/>
        <v/>
      </c>
      <c r="W18" s="278" t="str">
        <f t="shared" ca="1" si="14"/>
        <v/>
      </c>
      <c r="X18" s="278" t="str">
        <f t="shared" ca="1" si="14"/>
        <v/>
      </c>
      <c r="Y18" s="278" t="str">
        <f t="shared" ca="1" si="14"/>
        <v/>
      </c>
      <c r="Z18" s="296" t="str">
        <f t="shared" ca="1" si="14"/>
        <v/>
      </c>
      <c r="AA18" s="278" t="str">
        <f t="shared" ca="1" si="14"/>
        <v/>
      </c>
      <c r="AB18" s="278" t="str">
        <f t="shared" ca="1" si="14"/>
        <v/>
      </c>
      <c r="AC18" s="278">
        <f t="shared" ca="1" si="14"/>
        <v>5.9990000000000002E-2</v>
      </c>
      <c r="AD18" s="278" t="str">
        <f t="shared" ca="1" si="14"/>
        <v/>
      </c>
      <c r="AE18" s="278" t="str">
        <f t="shared" ca="1" si="14"/>
        <v/>
      </c>
      <c r="AF18" s="296" t="str">
        <f t="shared" ca="1" si="14"/>
        <v/>
      </c>
      <c r="AG18" s="278" t="str">
        <f t="shared" ca="1" si="14"/>
        <v/>
      </c>
      <c r="AH18" s="278" t="str">
        <f t="shared" ca="1" si="14"/>
        <v/>
      </c>
      <c r="AI18" s="278" t="str">
        <f t="shared" ca="1" si="14"/>
        <v/>
      </c>
      <c r="AJ18" s="278" t="str">
        <f t="shared" ca="1" si="14"/>
        <v/>
      </c>
      <c r="AK18" s="278" t="str">
        <f t="shared" ca="1" si="14"/>
        <v/>
      </c>
      <c r="AL18" s="296" t="str">
        <f t="shared" ca="1" si="14"/>
        <v/>
      </c>
      <c r="AM18" s="278" t="str">
        <f t="shared" ca="1" si="14"/>
        <v/>
      </c>
      <c r="AN18" s="278" t="str">
        <f t="shared" ca="1" si="14"/>
        <v/>
      </c>
      <c r="AO18" s="278" t="str">
        <f t="shared" ca="1" si="14"/>
        <v/>
      </c>
      <c r="AP18" s="278" t="str">
        <f t="shared" ca="1" si="14"/>
        <v/>
      </c>
      <c r="AQ18" s="278" t="str">
        <f t="shared" ca="1" si="14"/>
        <v/>
      </c>
      <c r="AR18" s="296" t="str">
        <f t="shared" ca="1" si="14"/>
        <v/>
      </c>
      <c r="AS18" s="278" t="str">
        <f t="shared" ca="1" si="14"/>
        <v/>
      </c>
      <c r="AT18" s="278" t="str">
        <f t="shared" ca="1" si="14"/>
        <v/>
      </c>
      <c r="AU18" s="278" t="str">
        <f t="shared" ca="1" si="14"/>
        <v/>
      </c>
      <c r="AV18" s="278" t="str">
        <f t="shared" ca="1" si="14"/>
        <v/>
      </c>
      <c r="AW18" s="278" t="str">
        <f t="shared" ca="1" si="14"/>
        <v/>
      </c>
      <c r="AX18" s="278" t="str">
        <f t="shared" ca="1" si="14"/>
        <v/>
      </c>
      <c r="AY18" s="114"/>
      <c r="AZ18" s="86"/>
      <c r="BA18" s="86"/>
    </row>
    <row r="19" spans="1:53" s="86" customFormat="1" ht="15.6">
      <c r="A19" s="51"/>
      <c r="B19" s="94"/>
      <c r="C19" s="135"/>
      <c r="D19" s="135"/>
      <c r="E19" s="116"/>
      <c r="F19" s="117"/>
      <c r="G19" s="374">
        <f t="shared" ca="1" si="11"/>
        <v>0</v>
      </c>
      <c r="H19" s="681">
        <v>0</v>
      </c>
      <c r="I19" s="597">
        <v>0</v>
      </c>
      <c r="J19" s="598">
        <v>0</v>
      </c>
      <c r="K19" s="407" t="s">
        <v>252</v>
      </c>
      <c r="L19" s="327">
        <v>1</v>
      </c>
      <c r="M19" s="327" t="s">
        <v>218</v>
      </c>
      <c r="N19" s="408">
        <f>N15</f>
        <v>275000</v>
      </c>
      <c r="O19" s="409" t="str">
        <f t="shared" ca="1" si="4"/>
        <v/>
      </c>
      <c r="P19" s="477" t="str">
        <f ca="1"/>
        <v/>
      </c>
      <c r="Q19" s="137"/>
      <c r="R19" s="691">
        <v>45709</v>
      </c>
      <c r="S19"/>
      <c r="T19" s="254" t="s">
        <v>505</v>
      </c>
      <c r="U19" s="280" t="str">
        <f ca="1">IFERROR(PV(U18,12*30,-U17,0),"")</f>
        <v/>
      </c>
      <c r="V19" s="280" t="str">
        <f t="shared" ref="V19:AX19" ca="1" si="15">IFERROR(PV(V18,12*30,-V17,0),"")</f>
        <v/>
      </c>
      <c r="W19" s="280" t="str">
        <f t="shared" ca="1" si="15"/>
        <v/>
      </c>
      <c r="X19" s="280" t="str">
        <f t="shared" ca="1" si="15"/>
        <v/>
      </c>
      <c r="Y19" s="280" t="str">
        <f t="shared" ca="1" si="15"/>
        <v/>
      </c>
      <c r="Z19" s="297" t="str">
        <f t="shared" ca="1" si="15"/>
        <v/>
      </c>
      <c r="AA19" s="280" t="str">
        <f t="shared" ca="1" si="15"/>
        <v/>
      </c>
      <c r="AB19" s="280" t="str">
        <f t="shared" ca="1" si="15"/>
        <v/>
      </c>
      <c r="AC19" s="280">
        <f t="shared" ca="1" si="15"/>
        <v>286697.78274057916</v>
      </c>
      <c r="AD19" s="280" t="str">
        <f t="shared" ca="1" si="15"/>
        <v/>
      </c>
      <c r="AE19" s="280" t="str">
        <f t="shared" ca="1" si="15"/>
        <v/>
      </c>
      <c r="AF19" s="297" t="str">
        <f t="shared" ca="1" si="15"/>
        <v/>
      </c>
      <c r="AG19" s="280" t="str">
        <f t="shared" ca="1" si="15"/>
        <v/>
      </c>
      <c r="AH19" s="280" t="str">
        <f t="shared" ca="1" si="15"/>
        <v/>
      </c>
      <c r="AI19" s="280" t="str">
        <f t="shared" ca="1" si="15"/>
        <v/>
      </c>
      <c r="AJ19" s="280" t="str">
        <f t="shared" ca="1" si="15"/>
        <v/>
      </c>
      <c r="AK19" s="280" t="str">
        <f t="shared" ca="1" si="15"/>
        <v/>
      </c>
      <c r="AL19" s="297" t="str">
        <f t="shared" ca="1" si="15"/>
        <v/>
      </c>
      <c r="AM19" s="280" t="str">
        <f t="shared" ca="1" si="15"/>
        <v/>
      </c>
      <c r="AN19" s="280" t="str">
        <f t="shared" ca="1" si="15"/>
        <v/>
      </c>
      <c r="AO19" s="280" t="str">
        <f t="shared" ca="1" si="15"/>
        <v/>
      </c>
      <c r="AP19" s="280" t="str">
        <f t="shared" ca="1" si="15"/>
        <v/>
      </c>
      <c r="AQ19" s="280" t="str">
        <f t="shared" ca="1" si="15"/>
        <v/>
      </c>
      <c r="AR19" s="297" t="str">
        <f t="shared" ca="1" si="15"/>
        <v/>
      </c>
      <c r="AS19" s="280" t="str">
        <f t="shared" ca="1" si="15"/>
        <v/>
      </c>
      <c r="AT19" s="280" t="str">
        <f t="shared" ca="1" si="15"/>
        <v/>
      </c>
      <c r="AU19" s="280" t="str">
        <f t="shared" ca="1" si="15"/>
        <v/>
      </c>
      <c r="AV19" s="280" t="str">
        <f t="shared" ca="1" si="15"/>
        <v/>
      </c>
      <c r="AW19" s="280" t="str">
        <f t="shared" ca="1" si="15"/>
        <v/>
      </c>
      <c r="AX19" s="280" t="str">
        <f t="shared" ca="1" si="15"/>
        <v/>
      </c>
      <c r="AY19" s="114"/>
      <c r="AZ19" s="51"/>
      <c r="BA19" s="51"/>
    </row>
    <row r="20" spans="1:53" ht="15.6">
      <c r="B20" s="462" t="s">
        <v>249</v>
      </c>
      <c r="C20" s="465" t="s">
        <v>250</v>
      </c>
      <c r="D20" s="463" t="s">
        <v>223</v>
      </c>
      <c r="E20" s="464" t="s">
        <v>251</v>
      </c>
      <c r="F20" s="117"/>
      <c r="G20" s="406">
        <f t="shared" ca="1" si="11"/>
        <v>0</v>
      </c>
      <c r="H20" s="679">
        <v>0</v>
      </c>
      <c r="I20" s="587">
        <v>0</v>
      </c>
      <c r="J20" s="588">
        <v>0</v>
      </c>
      <c r="K20" s="379" t="s">
        <v>255</v>
      </c>
      <c r="L20" s="235">
        <v>2</v>
      </c>
      <c r="M20" s="380">
        <v>0.5</v>
      </c>
      <c r="N20" s="602">
        <v>400000</v>
      </c>
      <c r="O20" s="381" t="str">
        <f t="shared" ca="1" si="4"/>
        <v/>
      </c>
      <c r="P20" s="477" t="str">
        <f ca="1"/>
        <v/>
      </c>
      <c r="Q20" s="127"/>
      <c r="R20" s="273"/>
      <c r="S20"/>
      <c r="T20" s="270"/>
      <c r="U20" s="102"/>
      <c r="V20" s="102"/>
      <c r="W20" s="102"/>
      <c r="X20" s="102"/>
      <c r="Y20" s="102"/>
      <c r="Z20" s="293"/>
      <c r="AA20" s="102"/>
      <c r="AB20" s="102"/>
      <c r="AC20" s="102"/>
      <c r="AD20" s="102"/>
      <c r="AE20" s="102"/>
      <c r="AF20" s="293"/>
      <c r="AG20" s="102"/>
      <c r="AH20" s="102"/>
      <c r="AI20" s="102"/>
      <c r="AJ20" s="102"/>
      <c r="AK20" s="102"/>
      <c r="AL20" s="293"/>
      <c r="AM20" s="102"/>
      <c r="AN20" s="102"/>
      <c r="AO20" s="102"/>
      <c r="AP20" s="102"/>
      <c r="AQ20" s="102"/>
      <c r="AR20" s="293"/>
      <c r="AS20" s="102"/>
      <c r="AT20" s="102"/>
      <c r="AU20" s="102"/>
      <c r="AV20" s="102"/>
      <c r="AW20" s="102"/>
      <c r="AX20" s="102"/>
      <c r="AY20" s="114"/>
    </row>
    <row r="21" spans="1:53" ht="15">
      <c r="A21" s="86"/>
      <c r="B21" s="91" t="str">
        <f>L44</f>
        <v>Acq/Rehab Senior Loan</v>
      </c>
      <c r="C21" s="115">
        <f ca="1">M45*I86</f>
        <v>581416.96284375002</v>
      </c>
      <c r="D21" s="115">
        <f ca="1">IF($G$38&gt;0,C21/$G$38,0)</f>
        <v>581416.96284375002</v>
      </c>
      <c r="E21" s="116">
        <f t="shared" ref="E21:E27" ca="1" si="16">C21/$C$28</f>
        <v>0.7328012760905015</v>
      </c>
      <c r="F21" s="117"/>
      <c r="G21" s="373">
        <f t="shared" ca="1" si="11"/>
        <v>0</v>
      </c>
      <c r="H21" s="680">
        <v>0</v>
      </c>
      <c r="I21" s="590">
        <v>0</v>
      </c>
      <c r="J21" s="592">
        <v>0</v>
      </c>
      <c r="K21" s="125" t="s">
        <v>258</v>
      </c>
      <c r="L21" s="55">
        <v>2</v>
      </c>
      <c r="M21" s="126">
        <v>0.6</v>
      </c>
      <c r="N21" s="132">
        <f>N20</f>
        <v>400000</v>
      </c>
      <c r="O21" s="367" t="str">
        <f t="shared" ca="1" si="4"/>
        <v/>
      </c>
      <c r="P21" s="477" t="str">
        <f ca="1"/>
        <v/>
      </c>
      <c r="Q21" s="127"/>
      <c r="R21" s="274" t="s">
        <v>506</v>
      </c>
      <c r="S21" s="690">
        <v>75000</v>
      </c>
      <c r="T21" s="270" t="s">
        <v>507</v>
      </c>
      <c r="U21" s="160" t="str">
        <f t="shared" ref="U21:AX21" ca="1" si="17">IF(_xlfn.XLOOKUP(U4,$K$8:$K$37,$G$8:$G$37)&gt;0,$S$21,"")</f>
        <v/>
      </c>
      <c r="V21" s="160" t="str">
        <f t="shared" ca="1" si="17"/>
        <v/>
      </c>
      <c r="W21" s="160" t="str">
        <f t="shared" ca="1" si="17"/>
        <v/>
      </c>
      <c r="X21" s="160" t="str">
        <f t="shared" ca="1" si="17"/>
        <v/>
      </c>
      <c r="Y21" s="160" t="str">
        <f t="shared" ca="1" si="17"/>
        <v/>
      </c>
      <c r="Z21" s="292" t="str">
        <f t="shared" ca="1" si="17"/>
        <v/>
      </c>
      <c r="AA21" s="160" t="str">
        <f t="shared" ca="1" si="17"/>
        <v/>
      </c>
      <c r="AB21" s="160" t="str">
        <f t="shared" ca="1" si="17"/>
        <v/>
      </c>
      <c r="AC21" s="160">
        <f t="shared" ca="1" si="17"/>
        <v>75000</v>
      </c>
      <c r="AD21" s="160" t="str">
        <f t="shared" ca="1" si="17"/>
        <v/>
      </c>
      <c r="AE21" s="160" t="str">
        <f t="shared" ca="1" si="17"/>
        <v/>
      </c>
      <c r="AF21" s="292" t="str">
        <f t="shared" ca="1" si="17"/>
        <v/>
      </c>
      <c r="AG21" s="160" t="str">
        <f t="shared" ca="1" si="17"/>
        <v/>
      </c>
      <c r="AH21" s="160" t="str">
        <f t="shared" ca="1" si="17"/>
        <v/>
      </c>
      <c r="AI21" s="160" t="str">
        <f t="shared" ca="1" si="17"/>
        <v/>
      </c>
      <c r="AJ21" s="160" t="str">
        <f t="shared" ca="1" si="17"/>
        <v/>
      </c>
      <c r="AK21" s="160" t="str">
        <f t="shared" ca="1" si="17"/>
        <v/>
      </c>
      <c r="AL21" s="292" t="str">
        <f t="shared" ca="1" si="17"/>
        <v/>
      </c>
      <c r="AM21" s="160" t="str">
        <f t="shared" ca="1" si="17"/>
        <v/>
      </c>
      <c r="AN21" s="160" t="str">
        <f t="shared" ca="1" si="17"/>
        <v/>
      </c>
      <c r="AO21" s="160" t="str">
        <f t="shared" ca="1" si="17"/>
        <v/>
      </c>
      <c r="AP21" s="160" t="str">
        <f t="shared" ca="1" si="17"/>
        <v/>
      </c>
      <c r="AQ21" s="160" t="str">
        <f t="shared" ca="1" si="17"/>
        <v/>
      </c>
      <c r="AR21" s="292" t="str">
        <f t="shared" ca="1" si="17"/>
        <v/>
      </c>
      <c r="AS21" s="160" t="str">
        <f t="shared" ca="1" si="17"/>
        <v/>
      </c>
      <c r="AT21" s="160" t="str">
        <f t="shared" ca="1" si="17"/>
        <v/>
      </c>
      <c r="AU21" s="160" t="str">
        <f t="shared" ca="1" si="17"/>
        <v/>
      </c>
      <c r="AV21" s="160" t="str">
        <f t="shared" ca="1" si="17"/>
        <v/>
      </c>
      <c r="AW21" s="160" t="str">
        <f t="shared" ca="1" si="17"/>
        <v/>
      </c>
      <c r="AX21" s="160" t="str">
        <f t="shared" ca="1" si="17"/>
        <v/>
      </c>
      <c r="AY21" s="114"/>
    </row>
    <row r="22" spans="1:53" ht="15.6">
      <c r="B22" s="91" t="str">
        <f>L51</f>
        <v xml:space="preserve">Subordinate Loan #1 </v>
      </c>
      <c r="C22" s="115">
        <f ca="1">M52</f>
        <v>50000</v>
      </c>
      <c r="D22" s="115">
        <f t="shared" ref="D22:D27" ca="1" si="18">IF($G$38&gt;0,C22/$G$38,0)</f>
        <v>50000</v>
      </c>
      <c r="E22" s="116">
        <f t="shared" ca="1" si="16"/>
        <v>6.3018566959787387E-2</v>
      </c>
      <c r="F22" s="108"/>
      <c r="G22" s="373">
        <f t="shared" ca="1" si="11"/>
        <v>0</v>
      </c>
      <c r="H22" s="680">
        <v>0</v>
      </c>
      <c r="I22" s="590">
        <v>0</v>
      </c>
      <c r="J22" s="592">
        <v>0</v>
      </c>
      <c r="K22" s="125" t="s">
        <v>261</v>
      </c>
      <c r="L22" s="55">
        <v>2</v>
      </c>
      <c r="M22" s="126">
        <v>0.8</v>
      </c>
      <c r="N22" s="132">
        <f>N20</f>
        <v>400000</v>
      </c>
      <c r="O22" s="367" t="str">
        <f t="shared" ca="1" si="4"/>
        <v/>
      </c>
      <c r="P22" s="477" t="str">
        <f ca="1"/>
        <v/>
      </c>
      <c r="Q22" s="127"/>
      <c r="R22" s="274"/>
      <c r="S22" s="281"/>
      <c r="T22" s="270"/>
      <c r="U22" s="102"/>
      <c r="V22" s="102"/>
      <c r="W22" s="102"/>
      <c r="X22" s="102"/>
      <c r="Y22" s="102"/>
      <c r="Z22" s="293"/>
      <c r="AA22" s="102"/>
      <c r="AB22" s="102"/>
      <c r="AC22" s="102"/>
      <c r="AD22" s="102"/>
      <c r="AE22" s="102"/>
      <c r="AF22" s="293"/>
      <c r="AG22" s="102"/>
      <c r="AH22" s="102"/>
      <c r="AI22" s="102"/>
      <c r="AJ22" s="102"/>
      <c r="AK22" s="102"/>
      <c r="AL22" s="293"/>
      <c r="AM22" s="102"/>
      <c r="AN22" s="102"/>
      <c r="AO22" s="102"/>
      <c r="AP22" s="102"/>
      <c r="AQ22" s="102"/>
      <c r="AR22" s="293"/>
      <c r="AS22" s="102"/>
      <c r="AT22" s="102"/>
      <c r="AU22" s="102"/>
      <c r="AV22" s="102"/>
      <c r="AW22" s="102"/>
      <c r="AX22" s="102"/>
      <c r="AY22" s="114"/>
    </row>
    <row r="23" spans="1:53" ht="28.9">
      <c r="B23" s="91" t="str">
        <f>L60</f>
        <v>Rehab Tax Credits</v>
      </c>
      <c r="C23" s="115">
        <f ca="1">M61*M62*M63</f>
        <v>0</v>
      </c>
      <c r="D23" s="115">
        <f t="shared" ca="1" si="18"/>
        <v>0</v>
      </c>
      <c r="E23" s="116">
        <f t="shared" ca="1" si="16"/>
        <v>0</v>
      </c>
      <c r="F23" s="117"/>
      <c r="G23" s="373">
        <f t="shared" ca="1" si="11"/>
        <v>0</v>
      </c>
      <c r="H23" s="680">
        <v>0</v>
      </c>
      <c r="I23" s="590">
        <v>0</v>
      </c>
      <c r="J23" s="592">
        <v>0</v>
      </c>
      <c r="K23" s="125" t="s">
        <v>262</v>
      </c>
      <c r="L23" s="55">
        <v>2</v>
      </c>
      <c r="M23" s="126">
        <v>1</v>
      </c>
      <c r="N23" s="132">
        <f>N21</f>
        <v>400000</v>
      </c>
      <c r="O23" s="367" t="str">
        <f t="shared" ca="1" si="4"/>
        <v/>
      </c>
      <c r="P23" s="477" t="str">
        <f ca="1"/>
        <v/>
      </c>
      <c r="Q23" s="127"/>
      <c r="R23" s="274" t="s">
        <v>506</v>
      </c>
      <c r="S23" s="605">
        <v>3000</v>
      </c>
      <c r="T23" s="270" t="s">
        <v>508</v>
      </c>
      <c r="U23" s="160" t="str">
        <f t="shared" ref="U23:AX23" ca="1" si="19">IF(_xlfn.XLOOKUP(U4,$K$8:$K$37,$G$8:$G$37)&gt;0,$S$23,"")</f>
        <v/>
      </c>
      <c r="V23" s="160" t="str">
        <f t="shared" ca="1" si="19"/>
        <v/>
      </c>
      <c r="W23" s="160" t="str">
        <f t="shared" ca="1" si="19"/>
        <v/>
      </c>
      <c r="X23" s="160" t="str">
        <f t="shared" ca="1" si="19"/>
        <v/>
      </c>
      <c r="Y23" s="160" t="str">
        <f t="shared" ca="1" si="19"/>
        <v/>
      </c>
      <c r="Z23" s="292" t="str">
        <f t="shared" ca="1" si="19"/>
        <v/>
      </c>
      <c r="AA23" s="160" t="str">
        <f t="shared" ca="1" si="19"/>
        <v/>
      </c>
      <c r="AB23" s="160" t="str">
        <f t="shared" ca="1" si="19"/>
        <v/>
      </c>
      <c r="AC23" s="160">
        <f t="shared" ca="1" si="19"/>
        <v>3000</v>
      </c>
      <c r="AD23" s="160" t="str">
        <f t="shared" ca="1" si="19"/>
        <v/>
      </c>
      <c r="AE23" s="160" t="str">
        <f t="shared" ca="1" si="19"/>
        <v/>
      </c>
      <c r="AF23" s="292" t="str">
        <f t="shared" ca="1" si="19"/>
        <v/>
      </c>
      <c r="AG23" s="160" t="str">
        <f t="shared" ca="1" si="19"/>
        <v/>
      </c>
      <c r="AH23" s="160" t="str">
        <f t="shared" ca="1" si="19"/>
        <v/>
      </c>
      <c r="AI23" s="160" t="str">
        <f t="shared" ca="1" si="19"/>
        <v/>
      </c>
      <c r="AJ23" s="160" t="str">
        <f t="shared" ca="1" si="19"/>
        <v/>
      </c>
      <c r="AK23" s="160" t="str">
        <f t="shared" ca="1" si="19"/>
        <v/>
      </c>
      <c r="AL23" s="292" t="str">
        <f t="shared" ca="1" si="19"/>
        <v/>
      </c>
      <c r="AM23" s="160" t="str">
        <f t="shared" ca="1" si="19"/>
        <v/>
      </c>
      <c r="AN23" s="160" t="str">
        <f t="shared" ca="1" si="19"/>
        <v/>
      </c>
      <c r="AO23" s="160" t="str">
        <f t="shared" ca="1" si="19"/>
        <v/>
      </c>
      <c r="AP23" s="160" t="str">
        <f t="shared" ca="1" si="19"/>
        <v/>
      </c>
      <c r="AQ23" s="160" t="str">
        <f t="shared" ca="1" si="19"/>
        <v/>
      </c>
      <c r="AR23" s="292" t="str">
        <f t="shared" ca="1" si="19"/>
        <v/>
      </c>
      <c r="AS23" s="160" t="str">
        <f t="shared" ca="1" si="19"/>
        <v/>
      </c>
      <c r="AT23" s="160" t="str">
        <f t="shared" ca="1" si="19"/>
        <v/>
      </c>
      <c r="AU23" s="160" t="str">
        <f t="shared" ca="1" si="19"/>
        <v/>
      </c>
      <c r="AV23" s="160" t="str">
        <f t="shared" ca="1" si="19"/>
        <v/>
      </c>
      <c r="AW23" s="160" t="str">
        <f t="shared" ca="1" si="19"/>
        <v/>
      </c>
      <c r="AX23" s="160" t="str">
        <f t="shared" ca="1" si="19"/>
        <v/>
      </c>
      <c r="AY23" s="114"/>
    </row>
    <row r="24" spans="1:53" ht="14.45">
      <c r="B24" s="91" t="str">
        <f>L66</f>
        <v>Sponsor Equity</v>
      </c>
      <c r="C24" s="115">
        <f ca="1">M67</f>
        <v>12000</v>
      </c>
      <c r="D24" s="115">
        <f t="shared" ca="1" si="18"/>
        <v>12000</v>
      </c>
      <c r="E24" s="116">
        <f t="shared" ca="1" si="16"/>
        <v>1.5124456070348973E-2</v>
      </c>
      <c r="F24" s="117"/>
      <c r="G24" s="373">
        <f t="shared" ca="1" si="11"/>
        <v>0</v>
      </c>
      <c r="H24" s="680">
        <v>0</v>
      </c>
      <c r="I24" s="590">
        <v>0</v>
      </c>
      <c r="J24" s="592">
        <v>0</v>
      </c>
      <c r="K24" s="125" t="s">
        <v>264</v>
      </c>
      <c r="L24" s="55">
        <v>2</v>
      </c>
      <c r="M24" s="126">
        <v>1.2</v>
      </c>
      <c r="N24" s="132">
        <f>N22</f>
        <v>400000</v>
      </c>
      <c r="O24" s="367" t="str">
        <f t="shared" ca="1" si="4"/>
        <v/>
      </c>
      <c r="P24" s="477" t="str">
        <f ca="1"/>
        <v/>
      </c>
      <c r="Q24" s="127"/>
      <c r="R24" s="282"/>
      <c r="S24"/>
      <c r="T24" s="272"/>
      <c r="U24" s="102"/>
      <c r="V24" s="102"/>
      <c r="W24" s="102"/>
      <c r="X24" s="102"/>
      <c r="Y24" s="102"/>
      <c r="Z24" s="293"/>
      <c r="AA24" s="102"/>
      <c r="AB24" s="102"/>
      <c r="AC24" s="102"/>
      <c r="AD24" s="102"/>
      <c r="AE24" s="102"/>
      <c r="AF24" s="293"/>
      <c r="AG24" s="102"/>
      <c r="AH24" s="102"/>
      <c r="AI24" s="102"/>
      <c r="AJ24" s="102"/>
      <c r="AK24" s="102"/>
      <c r="AL24" s="293"/>
      <c r="AM24" s="102"/>
      <c r="AN24" s="102"/>
      <c r="AO24" s="102"/>
      <c r="AP24" s="102"/>
      <c r="AQ24" s="102"/>
      <c r="AR24" s="293"/>
      <c r="AS24" s="102"/>
      <c r="AT24" s="102"/>
      <c r="AU24" s="102"/>
      <c r="AV24" s="102"/>
      <c r="AW24" s="102"/>
      <c r="AX24" s="102"/>
      <c r="AY24" s="114"/>
    </row>
    <row r="25" spans="1:53" ht="15.6">
      <c r="B25" s="91" t="str">
        <f>L70</f>
        <v>Grant Type #1</v>
      </c>
      <c r="C25" s="115">
        <f ca="1">M71</f>
        <v>150000</v>
      </c>
      <c r="D25" s="115">
        <f t="shared" ca="1" si="18"/>
        <v>150000</v>
      </c>
      <c r="E25" s="116">
        <f t="shared" ca="1" si="16"/>
        <v>0.18905570087936216</v>
      </c>
      <c r="F25" s="117"/>
      <c r="G25" s="374">
        <f t="shared" ca="1" si="11"/>
        <v>0</v>
      </c>
      <c r="H25" s="681">
        <v>0</v>
      </c>
      <c r="I25" s="597">
        <v>0</v>
      </c>
      <c r="J25" s="598">
        <v>0</v>
      </c>
      <c r="K25" s="407" t="s">
        <v>265</v>
      </c>
      <c r="L25" s="327">
        <v>2</v>
      </c>
      <c r="M25" s="327" t="s">
        <v>218</v>
      </c>
      <c r="N25" s="408">
        <f>N21</f>
        <v>400000</v>
      </c>
      <c r="O25" s="409" t="str">
        <f t="shared" ca="1" si="4"/>
        <v/>
      </c>
      <c r="P25" s="477" t="str">
        <f ca="1"/>
        <v/>
      </c>
      <c r="Q25" s="127"/>
      <c r="R25" s="273"/>
      <c r="S25"/>
      <c r="T25" s="254" t="s">
        <v>509</v>
      </c>
      <c r="U25" s="280" t="str">
        <f ca="1">IFERROR(U19+U21-U23,"")</f>
        <v/>
      </c>
      <c r="V25" s="280" t="str">
        <f t="shared" ref="V25:AX25" ca="1" si="20">IFERROR(V19+V21-V23,"")</f>
        <v/>
      </c>
      <c r="W25" s="280" t="str">
        <f t="shared" ca="1" si="20"/>
        <v/>
      </c>
      <c r="X25" s="280" t="str">
        <f t="shared" ca="1" si="20"/>
        <v/>
      </c>
      <c r="Y25" s="280" t="str">
        <f t="shared" ca="1" si="20"/>
        <v/>
      </c>
      <c r="Z25" s="297" t="str">
        <f t="shared" ca="1" si="20"/>
        <v/>
      </c>
      <c r="AA25" s="280" t="str">
        <f t="shared" ca="1" si="20"/>
        <v/>
      </c>
      <c r="AB25" s="280" t="str">
        <f t="shared" ca="1" si="20"/>
        <v/>
      </c>
      <c r="AC25" s="280">
        <f t="shared" ca="1" si="20"/>
        <v>358697.78274057916</v>
      </c>
      <c r="AD25" s="280" t="str">
        <f t="shared" ca="1" si="20"/>
        <v/>
      </c>
      <c r="AE25" s="280" t="str">
        <f t="shared" ca="1" si="20"/>
        <v/>
      </c>
      <c r="AF25" s="297" t="str">
        <f t="shared" ca="1" si="20"/>
        <v/>
      </c>
      <c r="AG25" s="280" t="str">
        <f t="shared" ca="1" si="20"/>
        <v/>
      </c>
      <c r="AH25" s="280" t="str">
        <f t="shared" ca="1" si="20"/>
        <v/>
      </c>
      <c r="AI25" s="280" t="str">
        <f t="shared" ca="1" si="20"/>
        <v/>
      </c>
      <c r="AJ25" s="280" t="str">
        <f t="shared" ca="1" si="20"/>
        <v/>
      </c>
      <c r="AK25" s="280" t="str">
        <f t="shared" ca="1" si="20"/>
        <v/>
      </c>
      <c r="AL25" s="297" t="str">
        <f t="shared" ca="1" si="20"/>
        <v/>
      </c>
      <c r="AM25" s="280" t="str">
        <f t="shared" ca="1" si="20"/>
        <v/>
      </c>
      <c r="AN25" s="280" t="str">
        <f t="shared" ca="1" si="20"/>
        <v/>
      </c>
      <c r="AO25" s="280" t="str">
        <f t="shared" ca="1" si="20"/>
        <v/>
      </c>
      <c r="AP25" s="280" t="str">
        <f t="shared" ca="1" si="20"/>
        <v/>
      </c>
      <c r="AQ25" s="280" t="str">
        <f t="shared" ca="1" si="20"/>
        <v/>
      </c>
      <c r="AR25" s="297" t="str">
        <f t="shared" ca="1" si="20"/>
        <v/>
      </c>
      <c r="AS25" s="280" t="str">
        <f t="shared" ca="1" si="20"/>
        <v/>
      </c>
      <c r="AT25" s="280" t="str">
        <f t="shared" ca="1" si="20"/>
        <v/>
      </c>
      <c r="AU25" s="280" t="str">
        <f t="shared" ca="1" si="20"/>
        <v/>
      </c>
      <c r="AV25" s="280" t="str">
        <f t="shared" ca="1" si="20"/>
        <v/>
      </c>
      <c r="AW25" s="280" t="str">
        <f t="shared" ca="1" si="20"/>
        <v/>
      </c>
      <c r="AX25" s="280" t="str">
        <f t="shared" ca="1" si="20"/>
        <v/>
      </c>
      <c r="AY25" s="114"/>
    </row>
    <row r="26" spans="1:53" ht="15.6">
      <c r="B26" s="91" t="str">
        <f>L73</f>
        <v>Grant Type #2</v>
      </c>
      <c r="C26" s="115">
        <f ca="1">M74</f>
        <v>0</v>
      </c>
      <c r="D26" s="115">
        <f t="shared" ca="1" si="18"/>
        <v>0</v>
      </c>
      <c r="E26" s="116">
        <f t="shared" ca="1" si="16"/>
        <v>0</v>
      </c>
      <c r="F26" s="117"/>
      <c r="G26" s="406">
        <f t="shared" ca="1" si="11"/>
        <v>0</v>
      </c>
      <c r="H26" s="679">
        <v>0</v>
      </c>
      <c r="I26" s="587">
        <v>0</v>
      </c>
      <c r="J26" s="588">
        <v>0</v>
      </c>
      <c r="K26" s="379" t="s">
        <v>268</v>
      </c>
      <c r="L26" s="235">
        <v>3</v>
      </c>
      <c r="M26" s="380">
        <v>0.5</v>
      </c>
      <c r="N26" s="602">
        <v>520000</v>
      </c>
      <c r="O26" s="381" t="str">
        <f t="shared" ca="1" si="4"/>
        <v/>
      </c>
      <c r="P26" s="477" t="str">
        <f ca="1"/>
        <v/>
      </c>
      <c r="Q26" s="127"/>
      <c r="R26" s="273"/>
      <c r="S26"/>
      <c r="T26" s="254" t="s">
        <v>510</v>
      </c>
      <c r="U26" s="275" t="str">
        <f t="shared" ref="U26:AX26" ca="1" si="21">IFERROR(U5-U25,"")</f>
        <v/>
      </c>
      <c r="V26" s="275" t="str">
        <f t="shared" ca="1" si="21"/>
        <v/>
      </c>
      <c r="W26" s="275" t="str">
        <f t="shared" ca="1" si="21"/>
        <v/>
      </c>
      <c r="X26" s="275" t="str">
        <f t="shared" ca="1" si="21"/>
        <v/>
      </c>
      <c r="Y26" s="275" t="str">
        <f t="shared" ca="1" si="21"/>
        <v/>
      </c>
      <c r="Z26" s="295" t="str">
        <f t="shared" ca="1" si="21"/>
        <v/>
      </c>
      <c r="AA26" s="275" t="str">
        <f t="shared" ca="1" si="21"/>
        <v/>
      </c>
      <c r="AB26" s="275" t="str">
        <f t="shared" ca="1" si="21"/>
        <v/>
      </c>
      <c r="AC26" s="275">
        <f t="shared" ca="1" si="21"/>
        <v>416174.83438442083</v>
      </c>
      <c r="AD26" s="275" t="str">
        <f t="shared" ca="1" si="21"/>
        <v/>
      </c>
      <c r="AE26" s="275" t="str">
        <f t="shared" ca="1" si="21"/>
        <v/>
      </c>
      <c r="AF26" s="295" t="str">
        <f t="shared" ca="1" si="21"/>
        <v/>
      </c>
      <c r="AG26" s="275" t="str">
        <f t="shared" ca="1" si="21"/>
        <v/>
      </c>
      <c r="AH26" s="275" t="str">
        <f t="shared" ca="1" si="21"/>
        <v/>
      </c>
      <c r="AI26" s="275" t="str">
        <f t="shared" ca="1" si="21"/>
        <v/>
      </c>
      <c r="AJ26" s="275" t="str">
        <f t="shared" ca="1" si="21"/>
        <v/>
      </c>
      <c r="AK26" s="275" t="str">
        <f t="shared" ca="1" si="21"/>
        <v/>
      </c>
      <c r="AL26" s="295" t="str">
        <f t="shared" ca="1" si="21"/>
        <v/>
      </c>
      <c r="AM26" s="275" t="str">
        <f t="shared" ca="1" si="21"/>
        <v/>
      </c>
      <c r="AN26" s="275" t="str">
        <f t="shared" ca="1" si="21"/>
        <v/>
      </c>
      <c r="AO26" s="275" t="str">
        <f t="shared" ca="1" si="21"/>
        <v/>
      </c>
      <c r="AP26" s="275" t="str">
        <f t="shared" ca="1" si="21"/>
        <v/>
      </c>
      <c r="AQ26" s="275" t="str">
        <f t="shared" ca="1" si="21"/>
        <v/>
      </c>
      <c r="AR26" s="295" t="str">
        <f t="shared" ca="1" si="21"/>
        <v/>
      </c>
      <c r="AS26" s="275" t="str">
        <f t="shared" ca="1" si="21"/>
        <v/>
      </c>
      <c r="AT26" s="275" t="str">
        <f t="shared" ca="1" si="21"/>
        <v/>
      </c>
      <c r="AU26" s="275" t="str">
        <f t="shared" ca="1" si="21"/>
        <v/>
      </c>
      <c r="AV26" s="275" t="str">
        <f t="shared" ca="1" si="21"/>
        <v/>
      </c>
      <c r="AW26" s="275" t="str">
        <f t="shared" ca="1" si="21"/>
        <v/>
      </c>
      <c r="AX26" s="275" t="str">
        <f t="shared" ca="1" si="21"/>
        <v/>
      </c>
      <c r="AY26" s="114"/>
    </row>
    <row r="27" spans="1:53" ht="15" thickBot="1">
      <c r="B27" s="92" t="str">
        <f>L77</f>
        <v>Grant Type #3</v>
      </c>
      <c r="C27" s="123">
        <f ca="1">M78</f>
        <v>0</v>
      </c>
      <c r="D27" s="123">
        <f t="shared" ca="1" si="18"/>
        <v>0</v>
      </c>
      <c r="E27" s="124">
        <f t="shared" ca="1" si="16"/>
        <v>0</v>
      </c>
      <c r="F27" s="117"/>
      <c r="G27" s="373">
        <f t="shared" ca="1" si="11"/>
        <v>0</v>
      </c>
      <c r="H27" s="680">
        <v>0</v>
      </c>
      <c r="I27" s="590">
        <v>0</v>
      </c>
      <c r="J27" s="592">
        <v>1</v>
      </c>
      <c r="K27" s="125" t="s">
        <v>269</v>
      </c>
      <c r="L27" s="55">
        <v>3</v>
      </c>
      <c r="M27" s="126">
        <v>0.6</v>
      </c>
      <c r="N27" s="132">
        <f>N26</f>
        <v>520000</v>
      </c>
      <c r="O27" s="367" t="str">
        <f t="shared" ca="1" si="4"/>
        <v/>
      </c>
      <c r="P27" s="477" t="str">
        <f ca="1"/>
        <v/>
      </c>
      <c r="Q27" s="127"/>
      <c r="R27" s="283"/>
      <c r="S27" s="246"/>
      <c r="T27" s="265"/>
      <c r="U27" s="170"/>
      <c r="V27" s="170"/>
      <c r="W27" s="170"/>
      <c r="X27" s="170"/>
      <c r="Y27" s="170"/>
      <c r="Z27" s="298"/>
      <c r="AA27" s="170"/>
      <c r="AB27" s="170"/>
      <c r="AC27" s="170"/>
      <c r="AD27" s="170"/>
      <c r="AE27" s="170"/>
      <c r="AF27" s="298"/>
      <c r="AG27" s="170"/>
      <c r="AH27" s="170"/>
      <c r="AI27" s="170"/>
      <c r="AJ27" s="170"/>
      <c r="AK27" s="170"/>
      <c r="AL27" s="298"/>
      <c r="AM27" s="170"/>
      <c r="AN27" s="170"/>
      <c r="AO27" s="170"/>
      <c r="AP27" s="170"/>
      <c r="AQ27" s="170"/>
      <c r="AR27" s="298"/>
      <c r="AS27" s="170"/>
      <c r="AT27" s="170"/>
      <c r="AU27" s="170"/>
      <c r="AV27" s="170"/>
      <c r="AW27" s="170"/>
      <c r="AX27" s="170"/>
      <c r="AY27" s="171"/>
    </row>
    <row r="28" spans="1:53" ht="16.149999999999999" thickTop="1">
      <c r="B28" s="93" t="s">
        <v>278</v>
      </c>
      <c r="C28" s="130">
        <f ca="1">SUM(C21:C27)</f>
        <v>793416.96284375002</v>
      </c>
      <c r="D28" s="130">
        <f ca="1">SUM(D21:D27)</f>
        <v>793416.96284375002</v>
      </c>
      <c r="E28" s="131">
        <f ca="1">SUM(E21:E27)</f>
        <v>1</v>
      </c>
      <c r="F28" s="136"/>
      <c r="G28" s="373">
        <f t="shared" ca="1" si="11"/>
        <v>0</v>
      </c>
      <c r="H28" s="680">
        <v>0</v>
      </c>
      <c r="I28" s="590">
        <v>0</v>
      </c>
      <c r="J28" s="592">
        <v>0</v>
      </c>
      <c r="K28" s="125" t="s">
        <v>273</v>
      </c>
      <c r="L28" s="55">
        <v>3</v>
      </c>
      <c r="M28" s="126">
        <v>0.8</v>
      </c>
      <c r="N28" s="132">
        <f>N26</f>
        <v>520000</v>
      </c>
      <c r="O28" s="367" t="str">
        <f t="shared" ca="1" si="4"/>
        <v/>
      </c>
      <c r="P28" s="477" t="str">
        <f ca="1"/>
        <v/>
      </c>
      <c r="Q28" s="127"/>
      <c r="R28" s="77"/>
      <c r="S28"/>
      <c r="T28" s="270"/>
    </row>
    <row r="29" spans="1:53" ht="14.45">
      <c r="B29" s="94"/>
      <c r="C29" s="135"/>
      <c r="D29" s="135"/>
      <c r="E29" s="116"/>
      <c r="F29" s="117"/>
      <c r="G29" s="373">
        <f t="shared" ca="1" si="11"/>
        <v>0</v>
      </c>
      <c r="H29" s="680">
        <v>0</v>
      </c>
      <c r="I29" s="590">
        <v>0</v>
      </c>
      <c r="J29" s="592">
        <v>0</v>
      </c>
      <c r="K29" s="125" t="s">
        <v>276</v>
      </c>
      <c r="L29" s="55">
        <v>3</v>
      </c>
      <c r="M29" s="126">
        <v>1</v>
      </c>
      <c r="N29" s="132">
        <f>N27</f>
        <v>520000</v>
      </c>
      <c r="O29" s="367" t="str">
        <f t="shared" ca="1" si="4"/>
        <v/>
      </c>
      <c r="P29" s="477" t="str">
        <f ca="1"/>
        <v/>
      </c>
      <c r="Q29" s="127"/>
      <c r="R29" s="77"/>
      <c r="S29"/>
      <c r="T29" s="270"/>
    </row>
    <row r="30" spans="1:53" ht="15" thickBot="1">
      <c r="B30" s="95" t="s">
        <v>286</v>
      </c>
      <c r="C30" s="139">
        <f ca="1">C28-C18</f>
        <v>18194.345718750032</v>
      </c>
      <c r="D30" s="139">
        <f ca="1">D28-D18</f>
        <v>18194.345718750032</v>
      </c>
      <c r="E30" s="140"/>
      <c r="F30" s="117"/>
      <c r="G30" s="373">
        <f t="shared" ca="1" si="11"/>
        <v>0</v>
      </c>
      <c r="H30" s="680">
        <v>0</v>
      </c>
      <c r="I30" s="590">
        <v>0</v>
      </c>
      <c r="J30" s="592">
        <v>0</v>
      </c>
      <c r="K30" s="125" t="s">
        <v>279</v>
      </c>
      <c r="L30" s="55">
        <v>3</v>
      </c>
      <c r="M30" s="126">
        <v>1.2</v>
      </c>
      <c r="N30" s="132">
        <f>N28</f>
        <v>520000</v>
      </c>
      <c r="O30" s="367" t="str">
        <f t="shared" ca="1" si="4"/>
        <v/>
      </c>
      <c r="P30" s="477" t="str">
        <f ca="1"/>
        <v/>
      </c>
      <c r="Q30" s="127"/>
      <c r="S30" s="55"/>
      <c r="T30" s="51"/>
      <c r="X30" s="314"/>
      <c r="Y30" s="149"/>
      <c r="Z30" s="149"/>
      <c r="AA30" s="149"/>
      <c r="AB30" s="149"/>
      <c r="AC30" s="149"/>
      <c r="AD30" s="149"/>
      <c r="AE30" s="149"/>
      <c r="AF30" s="149"/>
      <c r="AG30" s="149"/>
      <c r="AH30" s="149"/>
      <c r="AI30" s="149"/>
      <c r="AJ30" s="149"/>
      <c r="AK30" s="149"/>
      <c r="AL30" s="149"/>
      <c r="AM30" s="149"/>
    </row>
    <row r="31" spans="1:53" ht="14.45" thickTop="1">
      <c r="B31" s="94"/>
      <c r="C31" s="141"/>
      <c r="D31" s="141"/>
      <c r="E31" s="142"/>
      <c r="F31" s="117"/>
      <c r="G31" s="374">
        <f t="shared" ca="1" si="11"/>
        <v>0</v>
      </c>
      <c r="H31" s="681">
        <v>0</v>
      </c>
      <c r="I31" s="597">
        <v>0</v>
      </c>
      <c r="J31" s="598">
        <v>0</v>
      </c>
      <c r="K31" s="407" t="s">
        <v>283</v>
      </c>
      <c r="L31" s="327">
        <v>3</v>
      </c>
      <c r="M31" s="327" t="s">
        <v>218</v>
      </c>
      <c r="N31" s="408">
        <f>N27</f>
        <v>520000</v>
      </c>
      <c r="O31" s="409" t="str">
        <f t="shared" ca="1" si="4"/>
        <v/>
      </c>
      <c r="P31" s="477" t="str">
        <f ca="1"/>
        <v/>
      </c>
      <c r="Q31" s="150"/>
      <c r="S31" s="205"/>
      <c r="T31" s="51"/>
      <c r="X31" s="111"/>
      <c r="Y31" s="134"/>
      <c r="Z31" s="134"/>
      <c r="AA31" s="134"/>
      <c r="AB31" s="134"/>
      <c r="AC31" s="134"/>
      <c r="AD31" s="134"/>
      <c r="AE31" s="134"/>
      <c r="AF31" s="134"/>
      <c r="AG31" s="134"/>
      <c r="AH31" s="134"/>
      <c r="AI31" s="134"/>
      <c r="AJ31" s="134"/>
      <c r="AK31" s="134"/>
      <c r="AL31" s="134"/>
      <c r="AM31" s="134"/>
    </row>
    <row r="32" spans="1:53" ht="17.45">
      <c r="B32" s="94"/>
      <c r="C32" s="135"/>
      <c r="D32" s="135"/>
      <c r="E32" s="116"/>
      <c r="F32" s="117"/>
      <c r="G32" s="406">
        <f t="shared" ca="1" si="11"/>
        <v>0</v>
      </c>
      <c r="H32" s="679">
        <v>0</v>
      </c>
      <c r="I32" s="587">
        <v>0</v>
      </c>
      <c r="J32" s="588">
        <v>0</v>
      </c>
      <c r="K32" s="379" t="s">
        <v>287</v>
      </c>
      <c r="L32" s="235">
        <v>4</v>
      </c>
      <c r="M32" s="380">
        <v>0.5</v>
      </c>
      <c r="N32" s="602">
        <v>650000</v>
      </c>
      <c r="O32" s="381" t="str">
        <f t="shared" ca="1" si="4"/>
        <v/>
      </c>
      <c r="P32" s="477" t="str">
        <f ca="1"/>
        <v/>
      </c>
      <c r="R32" s="451" t="s">
        <v>512</v>
      </c>
      <c r="S32" s="452"/>
      <c r="T32" s="452"/>
      <c r="U32" s="452"/>
      <c r="V32" s="452"/>
      <c r="W32" s="452"/>
      <c r="X32" s="452"/>
      <c r="Y32" s="452"/>
      <c r="Z32" s="453"/>
      <c r="AA32" s="452"/>
      <c r="AB32" s="452"/>
      <c r="AC32" s="452"/>
      <c r="AD32" s="452"/>
      <c r="AE32" s="452"/>
      <c r="AF32" s="453"/>
      <c r="AG32" s="452"/>
      <c r="AH32" s="452"/>
      <c r="AI32" s="452"/>
      <c r="AJ32" s="452"/>
      <c r="AK32" s="452"/>
      <c r="AL32" s="453"/>
      <c r="AM32" s="452"/>
      <c r="AN32" s="452"/>
      <c r="AO32" s="452"/>
      <c r="AP32" s="452"/>
      <c r="AQ32" s="452"/>
      <c r="AR32" s="453"/>
      <c r="AS32" s="452"/>
      <c r="AT32" s="452"/>
      <c r="AU32" s="452"/>
      <c r="AV32" s="452"/>
      <c r="AW32" s="452"/>
      <c r="AX32" s="452"/>
      <c r="AY32" s="454"/>
    </row>
    <row r="33" spans="1:53" ht="17.45">
      <c r="B33" s="458" t="s">
        <v>511</v>
      </c>
      <c r="C33" s="459" t="s">
        <v>250</v>
      </c>
      <c r="D33" s="459" t="s">
        <v>223</v>
      </c>
      <c r="E33" s="460" t="s">
        <v>224</v>
      </c>
      <c r="F33" s="117"/>
      <c r="G33" s="373">
        <f t="shared" ca="1" si="11"/>
        <v>0</v>
      </c>
      <c r="H33" s="680">
        <v>0</v>
      </c>
      <c r="I33" s="590">
        <v>0</v>
      </c>
      <c r="J33" s="592">
        <v>0</v>
      </c>
      <c r="K33" s="125" t="s">
        <v>290</v>
      </c>
      <c r="L33" s="55">
        <v>4</v>
      </c>
      <c r="M33" s="126">
        <v>0.6</v>
      </c>
      <c r="N33" s="132">
        <f>N32</f>
        <v>650000</v>
      </c>
      <c r="O33" s="367" t="str">
        <f t="shared" ca="1" si="4"/>
        <v/>
      </c>
      <c r="P33" s="477" t="str">
        <f ca="1"/>
        <v/>
      </c>
      <c r="R33" s="317"/>
      <c r="S33" s="318"/>
      <c r="T33" s="81"/>
      <c r="U33" s="266" t="str">
        <f t="shared" ref="U33:AX33" si="22">U4</f>
        <v>0bd-50</v>
      </c>
      <c r="V33" s="266" t="str">
        <f t="shared" si="22"/>
        <v>0bd-60</v>
      </c>
      <c r="W33" s="266" t="str">
        <f t="shared" si="22"/>
        <v>0bd-80</v>
      </c>
      <c r="X33" s="266" t="str">
        <f t="shared" si="22"/>
        <v>0bd-100</v>
      </c>
      <c r="Y33" s="266" t="str">
        <f t="shared" si="22"/>
        <v>0bd-120</v>
      </c>
      <c r="Z33" s="291" t="str">
        <f t="shared" si="22"/>
        <v>0bd-mrkt</v>
      </c>
      <c r="AA33" s="266" t="str">
        <f t="shared" si="22"/>
        <v>1bd-50</v>
      </c>
      <c r="AB33" s="266" t="str">
        <f t="shared" si="22"/>
        <v>1bd-60</v>
      </c>
      <c r="AC33" s="266" t="str">
        <f t="shared" si="22"/>
        <v>1bd-80</v>
      </c>
      <c r="AD33" s="266" t="str">
        <f t="shared" si="22"/>
        <v>1bd-100</v>
      </c>
      <c r="AE33" s="266" t="str">
        <f t="shared" si="22"/>
        <v>1bd-120</v>
      </c>
      <c r="AF33" s="291" t="str">
        <f t="shared" si="22"/>
        <v>1bd-mrkt</v>
      </c>
      <c r="AG33" s="266" t="str">
        <f t="shared" si="22"/>
        <v>2bd-50</v>
      </c>
      <c r="AH33" s="266" t="str">
        <f t="shared" si="22"/>
        <v>2bd-60</v>
      </c>
      <c r="AI33" s="266" t="str">
        <f t="shared" si="22"/>
        <v>2bd-80</v>
      </c>
      <c r="AJ33" s="266" t="str">
        <f t="shared" si="22"/>
        <v>2bd-100</v>
      </c>
      <c r="AK33" s="266" t="str">
        <f t="shared" si="22"/>
        <v>2bd-120</v>
      </c>
      <c r="AL33" s="291" t="str">
        <f t="shared" si="22"/>
        <v>2bd-mrkt</v>
      </c>
      <c r="AM33" s="266" t="str">
        <f t="shared" si="22"/>
        <v>3bd-50</v>
      </c>
      <c r="AN33" s="266" t="str">
        <f t="shared" si="22"/>
        <v>3bd-60</v>
      </c>
      <c r="AO33" s="266" t="str">
        <f t="shared" si="22"/>
        <v>3bd-80</v>
      </c>
      <c r="AP33" s="266" t="str">
        <f t="shared" si="22"/>
        <v>3bd-100</v>
      </c>
      <c r="AQ33" s="266" t="str">
        <f t="shared" si="22"/>
        <v>3bd-120</v>
      </c>
      <c r="AR33" s="291" t="str">
        <f t="shared" si="22"/>
        <v>3bd-mrkt</v>
      </c>
      <c r="AS33" s="266" t="str">
        <f t="shared" si="22"/>
        <v>4bd-50</v>
      </c>
      <c r="AT33" s="266" t="str">
        <f t="shared" si="22"/>
        <v>4bd-60</v>
      </c>
      <c r="AU33" s="266" t="str">
        <f t="shared" si="22"/>
        <v>4bd-80</v>
      </c>
      <c r="AV33" s="266" t="str">
        <f t="shared" si="22"/>
        <v>4bd-100</v>
      </c>
      <c r="AW33" s="266" t="str">
        <f t="shared" si="22"/>
        <v>4bd-120</v>
      </c>
      <c r="AX33" s="266" t="str">
        <f t="shared" si="22"/>
        <v>4bd-mrkt</v>
      </c>
      <c r="AY33" s="114"/>
    </row>
    <row r="34" spans="1:53" s="86" customFormat="1" ht="15">
      <c r="A34" s="51"/>
      <c r="B34" s="96" t="s">
        <v>454</v>
      </c>
      <c r="C34" s="115">
        <f ca="1">C21</f>
        <v>581416.96284375002</v>
      </c>
      <c r="D34" s="145">
        <f ca="1">IF($G$38&gt;0,C34/$G$38,0)</f>
        <v>581416.96284375002</v>
      </c>
      <c r="E34" s="146">
        <f ca="1">C34/$C$36</f>
        <v>0.9208130238142288</v>
      </c>
      <c r="F34" s="117"/>
      <c r="G34" s="373">
        <f t="shared" ca="1" si="11"/>
        <v>0</v>
      </c>
      <c r="H34" s="680">
        <v>0</v>
      </c>
      <c r="I34" s="590">
        <v>0</v>
      </c>
      <c r="J34" s="592">
        <v>0</v>
      </c>
      <c r="K34" s="125" t="s">
        <v>292</v>
      </c>
      <c r="L34" s="55">
        <v>4</v>
      </c>
      <c r="M34" s="126">
        <v>0.8</v>
      </c>
      <c r="N34" s="132">
        <f>N32</f>
        <v>650000</v>
      </c>
      <c r="O34" s="367" t="str">
        <f t="shared" ca="1" si="4"/>
        <v/>
      </c>
      <c r="P34" s="477" t="str">
        <f ca="1"/>
        <v/>
      </c>
      <c r="R34" s="273"/>
      <c r="S34"/>
      <c r="T34" s="270" t="s">
        <v>480</v>
      </c>
      <c r="U34" s="319">
        <f>_xlfn.XLOOKUP(U33,$K$8:$K$37,$M$8:$M$37)</f>
        <v>0.5</v>
      </c>
      <c r="V34" s="319">
        <f t="shared" ref="V34:AX34" si="23">_xlfn.XLOOKUP(V33,$K$8:$K$37,$M$8:$M$37)</f>
        <v>0.6</v>
      </c>
      <c r="W34" s="319">
        <f t="shared" si="23"/>
        <v>0.8</v>
      </c>
      <c r="X34" s="319">
        <f t="shared" si="23"/>
        <v>1</v>
      </c>
      <c r="Y34" s="319">
        <f t="shared" si="23"/>
        <v>1.2</v>
      </c>
      <c r="Z34" s="423" t="str">
        <f t="shared" si="23"/>
        <v>Market Rate</v>
      </c>
      <c r="AA34" s="319">
        <f t="shared" si="23"/>
        <v>0.5</v>
      </c>
      <c r="AB34" s="319">
        <f t="shared" si="23"/>
        <v>0.6</v>
      </c>
      <c r="AC34" s="319">
        <f t="shared" si="23"/>
        <v>0.8</v>
      </c>
      <c r="AD34" s="319">
        <f t="shared" si="23"/>
        <v>1</v>
      </c>
      <c r="AE34" s="319">
        <f t="shared" si="23"/>
        <v>1.2</v>
      </c>
      <c r="AF34" s="423" t="str">
        <f t="shared" si="23"/>
        <v>Market Rate</v>
      </c>
      <c r="AG34" s="319">
        <f t="shared" si="23"/>
        <v>0.5</v>
      </c>
      <c r="AH34" s="319">
        <f t="shared" si="23"/>
        <v>0.6</v>
      </c>
      <c r="AI34" s="319">
        <f t="shared" si="23"/>
        <v>0.8</v>
      </c>
      <c r="AJ34" s="319">
        <f t="shared" si="23"/>
        <v>1</v>
      </c>
      <c r="AK34" s="319">
        <f t="shared" si="23"/>
        <v>1.2</v>
      </c>
      <c r="AL34" s="423" t="str">
        <f t="shared" si="23"/>
        <v>Market Rate</v>
      </c>
      <c r="AM34" s="319">
        <f t="shared" si="23"/>
        <v>0.5</v>
      </c>
      <c r="AN34" s="319">
        <f t="shared" si="23"/>
        <v>0.6</v>
      </c>
      <c r="AO34" s="319">
        <f t="shared" si="23"/>
        <v>0.8</v>
      </c>
      <c r="AP34" s="319">
        <f t="shared" si="23"/>
        <v>1</v>
      </c>
      <c r="AQ34" s="319">
        <f t="shared" si="23"/>
        <v>1.2</v>
      </c>
      <c r="AR34" s="423" t="str">
        <f t="shared" si="23"/>
        <v>Market Rate</v>
      </c>
      <c r="AS34" s="319">
        <f t="shared" si="23"/>
        <v>0.5</v>
      </c>
      <c r="AT34" s="319">
        <f t="shared" si="23"/>
        <v>0.6</v>
      </c>
      <c r="AU34" s="319">
        <f t="shared" si="23"/>
        <v>0.8</v>
      </c>
      <c r="AV34" s="319">
        <f t="shared" si="23"/>
        <v>1</v>
      </c>
      <c r="AW34" s="319">
        <f t="shared" si="23"/>
        <v>1.2</v>
      </c>
      <c r="AX34" s="319" t="str">
        <f t="shared" si="23"/>
        <v>Market Rate</v>
      </c>
      <c r="AY34" s="114"/>
      <c r="AZ34" s="51"/>
      <c r="BA34" s="51"/>
    </row>
    <row r="35" spans="1:53" ht="15" thickBot="1">
      <c r="B35" s="92" t="s">
        <v>513</v>
      </c>
      <c r="C35" s="123">
        <f ca="1">IF(M54&lt;=M47,M52,0)</f>
        <v>50000</v>
      </c>
      <c r="D35" s="123">
        <f ca="1">IF($G$38&gt;0,C35/$G$38,0)</f>
        <v>50000</v>
      </c>
      <c r="E35" s="124">
        <f ca="1">C35/$C$36</f>
        <v>7.9186976185771182E-2</v>
      </c>
      <c r="F35" s="147"/>
      <c r="G35" s="373">
        <f t="shared" ca="1" si="11"/>
        <v>0</v>
      </c>
      <c r="H35" s="680">
        <v>0</v>
      </c>
      <c r="I35" s="590">
        <v>0</v>
      </c>
      <c r="J35" s="592">
        <v>0</v>
      </c>
      <c r="K35" s="125" t="s">
        <v>296</v>
      </c>
      <c r="L35" s="55">
        <v>4</v>
      </c>
      <c r="M35" s="126">
        <v>1</v>
      </c>
      <c r="N35" s="132">
        <f>N33</f>
        <v>650000</v>
      </c>
      <c r="O35" s="367" t="str">
        <f t="shared" ca="1" si="4"/>
        <v/>
      </c>
      <c r="P35" s="477" t="str">
        <f ca="1"/>
        <v/>
      </c>
      <c r="Q35" s="81"/>
      <c r="R35" s="273"/>
      <c r="S35"/>
      <c r="T35" s="270" t="s">
        <v>515</v>
      </c>
      <c r="U35" s="320" t="str">
        <f ca="1">_xlfn.XLOOKUP(U33,$K$8:$K$37,$O$8:$O$37)</f>
        <v/>
      </c>
      <c r="V35" s="320" t="str">
        <f t="shared" ref="V35:AX35" ca="1" si="24">_xlfn.XLOOKUP(V33,$K$8:$K$37,$O$8:$O$37)</f>
        <v/>
      </c>
      <c r="W35" s="320" t="str">
        <f t="shared" ca="1" si="24"/>
        <v/>
      </c>
      <c r="X35" s="320" t="str">
        <f t="shared" ca="1" si="24"/>
        <v/>
      </c>
      <c r="Y35" s="320" t="str">
        <f t="shared" ca="1" si="24"/>
        <v/>
      </c>
      <c r="Z35" s="424" t="str">
        <f t="shared" ca="1" si="24"/>
        <v/>
      </c>
      <c r="AA35" s="320" t="str">
        <f t="shared" ca="1" si="24"/>
        <v/>
      </c>
      <c r="AB35" s="320" t="str">
        <f t="shared" ca="1" si="24"/>
        <v/>
      </c>
      <c r="AC35" s="320">
        <f t="shared" ca="1" si="24"/>
        <v>358697.78274057916</v>
      </c>
      <c r="AD35" s="320" t="str">
        <f t="shared" ca="1" si="24"/>
        <v/>
      </c>
      <c r="AE35" s="320" t="str">
        <f t="shared" ca="1" si="24"/>
        <v/>
      </c>
      <c r="AF35" s="424" t="str">
        <f t="shared" ca="1" si="24"/>
        <v/>
      </c>
      <c r="AG35" s="320" t="str">
        <f t="shared" ca="1" si="24"/>
        <v/>
      </c>
      <c r="AH35" s="320" t="str">
        <f t="shared" ca="1" si="24"/>
        <v/>
      </c>
      <c r="AI35" s="320" t="str">
        <f t="shared" ca="1" si="24"/>
        <v/>
      </c>
      <c r="AJ35" s="320" t="str">
        <f t="shared" ca="1" si="24"/>
        <v/>
      </c>
      <c r="AK35" s="320" t="str">
        <f t="shared" ca="1" si="24"/>
        <v/>
      </c>
      <c r="AL35" s="424" t="str">
        <f t="shared" ca="1" si="24"/>
        <v/>
      </c>
      <c r="AM35" s="320" t="str">
        <f t="shared" ca="1" si="24"/>
        <v/>
      </c>
      <c r="AN35" s="320" t="str">
        <f t="shared" ca="1" si="24"/>
        <v/>
      </c>
      <c r="AO35" s="320" t="str">
        <f t="shared" ca="1" si="24"/>
        <v/>
      </c>
      <c r="AP35" s="320" t="str">
        <f t="shared" ca="1" si="24"/>
        <v/>
      </c>
      <c r="AQ35" s="320" t="str">
        <f t="shared" ca="1" si="24"/>
        <v/>
      </c>
      <c r="AR35" s="424" t="str">
        <f t="shared" ca="1" si="24"/>
        <v/>
      </c>
      <c r="AS35" s="320" t="str">
        <f t="shared" ca="1" si="24"/>
        <v/>
      </c>
      <c r="AT35" s="320" t="str">
        <f t="shared" ca="1" si="24"/>
        <v/>
      </c>
      <c r="AU35" s="320" t="str">
        <f t="shared" ca="1" si="24"/>
        <v/>
      </c>
      <c r="AV35" s="320" t="str">
        <f t="shared" ca="1" si="24"/>
        <v/>
      </c>
      <c r="AW35" s="320" t="str">
        <f t="shared" ca="1" si="24"/>
        <v/>
      </c>
      <c r="AX35" s="320" t="str">
        <f t="shared" ca="1" si="24"/>
        <v/>
      </c>
      <c r="AY35" s="114"/>
    </row>
    <row r="36" spans="1:53" ht="16.149999999999999" thickTop="1">
      <c r="A36" s="86"/>
      <c r="B36" s="93" t="s">
        <v>514</v>
      </c>
      <c r="C36" s="115">
        <f ca="1">SUM(C34:C35)</f>
        <v>631416.96284375002</v>
      </c>
      <c r="D36" s="115">
        <f ca="1">SUM(D34:D35)</f>
        <v>631416.96284375002</v>
      </c>
      <c r="E36" s="116">
        <f ca="1">SUM(E34:E35)</f>
        <v>1</v>
      </c>
      <c r="F36" s="116"/>
      <c r="G36" s="373">
        <f t="shared" ca="1" si="11"/>
        <v>0</v>
      </c>
      <c r="H36" s="680">
        <v>0</v>
      </c>
      <c r="I36" s="590">
        <v>0</v>
      </c>
      <c r="J36" s="592">
        <v>0</v>
      </c>
      <c r="K36" s="125" t="s">
        <v>299</v>
      </c>
      <c r="L36" s="55">
        <v>4</v>
      </c>
      <c r="M36" s="126">
        <v>1.2</v>
      </c>
      <c r="N36" s="132">
        <f>N34</f>
        <v>650000</v>
      </c>
      <c r="O36" s="367" t="str">
        <f t="shared" ca="1" si="4"/>
        <v/>
      </c>
      <c r="P36" s="477" t="str">
        <f ca="1"/>
        <v/>
      </c>
      <c r="Q36" s="46"/>
      <c r="R36" s="273"/>
      <c r="S36"/>
      <c r="T36" s="270" t="s">
        <v>516</v>
      </c>
      <c r="U36" s="315" t="str">
        <f t="shared" ref="U36:AX36" ca="1" si="25">U19</f>
        <v/>
      </c>
      <c r="V36" s="315" t="str">
        <f t="shared" ca="1" si="25"/>
        <v/>
      </c>
      <c r="W36" s="315" t="str">
        <f t="shared" ca="1" si="25"/>
        <v/>
      </c>
      <c r="X36" s="315" t="str">
        <f t="shared" ca="1" si="25"/>
        <v/>
      </c>
      <c r="Y36" s="315" t="str">
        <f t="shared" ca="1" si="25"/>
        <v/>
      </c>
      <c r="Z36" s="425" t="str">
        <f t="shared" ca="1" si="25"/>
        <v/>
      </c>
      <c r="AA36" s="315" t="str">
        <f t="shared" ca="1" si="25"/>
        <v/>
      </c>
      <c r="AB36" s="315" t="str">
        <f t="shared" ca="1" si="25"/>
        <v/>
      </c>
      <c r="AC36" s="315">
        <f t="shared" ca="1" si="25"/>
        <v>286697.78274057916</v>
      </c>
      <c r="AD36" s="315" t="str">
        <f t="shared" ca="1" si="25"/>
        <v/>
      </c>
      <c r="AE36" s="315" t="str">
        <f t="shared" ca="1" si="25"/>
        <v/>
      </c>
      <c r="AF36" s="425" t="str">
        <f t="shared" ca="1" si="25"/>
        <v/>
      </c>
      <c r="AG36" s="315" t="str">
        <f t="shared" ca="1" si="25"/>
        <v/>
      </c>
      <c r="AH36" s="315" t="str">
        <f t="shared" ca="1" si="25"/>
        <v/>
      </c>
      <c r="AI36" s="315" t="str">
        <f t="shared" ca="1" si="25"/>
        <v/>
      </c>
      <c r="AJ36" s="315" t="str">
        <f t="shared" ca="1" si="25"/>
        <v/>
      </c>
      <c r="AK36" s="315" t="str">
        <f t="shared" ca="1" si="25"/>
        <v/>
      </c>
      <c r="AL36" s="425" t="str">
        <f t="shared" ca="1" si="25"/>
        <v/>
      </c>
      <c r="AM36" s="315" t="str">
        <f t="shared" ca="1" si="25"/>
        <v/>
      </c>
      <c r="AN36" s="315" t="str">
        <f t="shared" ca="1" si="25"/>
        <v/>
      </c>
      <c r="AO36" s="315" t="str">
        <f t="shared" ca="1" si="25"/>
        <v/>
      </c>
      <c r="AP36" s="315" t="str">
        <f t="shared" ca="1" si="25"/>
        <v/>
      </c>
      <c r="AQ36" s="315" t="str">
        <f t="shared" ca="1" si="25"/>
        <v/>
      </c>
      <c r="AR36" s="425" t="str">
        <f t="shared" ca="1" si="25"/>
        <v/>
      </c>
      <c r="AS36" s="315" t="str">
        <f t="shared" ca="1" si="25"/>
        <v/>
      </c>
      <c r="AT36" s="315" t="str">
        <f t="shared" ca="1" si="25"/>
        <v/>
      </c>
      <c r="AU36" s="315" t="str">
        <f t="shared" ca="1" si="25"/>
        <v/>
      </c>
      <c r="AV36" s="315" t="str">
        <f t="shared" ca="1" si="25"/>
        <v/>
      </c>
      <c r="AW36" s="315" t="str">
        <f t="shared" ca="1" si="25"/>
        <v/>
      </c>
      <c r="AX36" s="315" t="str">
        <f t="shared" ca="1" si="25"/>
        <v/>
      </c>
      <c r="AY36" s="114"/>
    </row>
    <row r="37" spans="1:53" ht="14.45">
      <c r="B37" s="91"/>
      <c r="C37" s="115"/>
      <c r="D37" s="115"/>
      <c r="E37" s="116"/>
      <c r="F37" s="116"/>
      <c r="G37" s="374">
        <f t="shared" ca="1" si="11"/>
        <v>0</v>
      </c>
      <c r="H37" s="681">
        <v>0</v>
      </c>
      <c r="I37" s="597">
        <v>0</v>
      </c>
      <c r="J37" s="598">
        <v>0</v>
      </c>
      <c r="K37" s="407" t="s">
        <v>302</v>
      </c>
      <c r="L37" s="327">
        <v>4</v>
      </c>
      <c r="M37" s="327" t="s">
        <v>218</v>
      </c>
      <c r="N37" s="408">
        <f>N33</f>
        <v>650000</v>
      </c>
      <c r="O37" s="409" t="str">
        <f t="shared" ca="1" si="4"/>
        <v/>
      </c>
      <c r="P37" s="477" t="str">
        <f ca="1"/>
        <v/>
      </c>
      <c r="Q37" s="87"/>
      <c r="R37" s="273"/>
      <c r="S37"/>
      <c r="T37" s="270" t="s">
        <v>518</v>
      </c>
      <c r="U37" s="315" t="str">
        <f t="shared" ref="U37:AX37" ca="1" si="26">U21</f>
        <v/>
      </c>
      <c r="V37" s="315" t="str">
        <f t="shared" ca="1" si="26"/>
        <v/>
      </c>
      <c r="W37" s="315" t="str">
        <f t="shared" ca="1" si="26"/>
        <v/>
      </c>
      <c r="X37" s="315" t="str">
        <f t="shared" ca="1" si="26"/>
        <v/>
      </c>
      <c r="Y37" s="315" t="str">
        <f t="shared" ca="1" si="26"/>
        <v/>
      </c>
      <c r="Z37" s="425" t="str">
        <f t="shared" ca="1" si="26"/>
        <v/>
      </c>
      <c r="AA37" s="315" t="str">
        <f t="shared" ca="1" si="26"/>
        <v/>
      </c>
      <c r="AB37" s="315" t="str">
        <f t="shared" ca="1" si="26"/>
        <v/>
      </c>
      <c r="AC37" s="315">
        <f t="shared" ca="1" si="26"/>
        <v>75000</v>
      </c>
      <c r="AD37" s="315" t="str">
        <f t="shared" ca="1" si="26"/>
        <v/>
      </c>
      <c r="AE37" s="315" t="str">
        <f t="shared" ca="1" si="26"/>
        <v/>
      </c>
      <c r="AF37" s="425" t="str">
        <f t="shared" ca="1" si="26"/>
        <v/>
      </c>
      <c r="AG37" s="315" t="str">
        <f t="shared" ca="1" si="26"/>
        <v/>
      </c>
      <c r="AH37" s="315" t="str">
        <f t="shared" ca="1" si="26"/>
        <v/>
      </c>
      <c r="AI37" s="315" t="str">
        <f t="shared" ca="1" si="26"/>
        <v/>
      </c>
      <c r="AJ37" s="315" t="str">
        <f t="shared" ca="1" si="26"/>
        <v/>
      </c>
      <c r="AK37" s="315" t="str">
        <f t="shared" ca="1" si="26"/>
        <v/>
      </c>
      <c r="AL37" s="425" t="str">
        <f t="shared" ca="1" si="26"/>
        <v/>
      </c>
      <c r="AM37" s="315" t="str">
        <f t="shared" ca="1" si="26"/>
        <v/>
      </c>
      <c r="AN37" s="315" t="str">
        <f t="shared" ca="1" si="26"/>
        <v/>
      </c>
      <c r="AO37" s="315" t="str">
        <f t="shared" ca="1" si="26"/>
        <v/>
      </c>
      <c r="AP37" s="315" t="str">
        <f t="shared" ca="1" si="26"/>
        <v/>
      </c>
      <c r="AQ37" s="315" t="str">
        <f t="shared" ca="1" si="26"/>
        <v/>
      </c>
      <c r="AR37" s="425" t="str">
        <f t="shared" ca="1" si="26"/>
        <v/>
      </c>
      <c r="AS37" s="315" t="str">
        <f t="shared" ca="1" si="26"/>
        <v/>
      </c>
      <c r="AT37" s="315" t="str">
        <f t="shared" ca="1" si="26"/>
        <v/>
      </c>
      <c r="AU37" s="315" t="str">
        <f t="shared" ca="1" si="26"/>
        <v/>
      </c>
      <c r="AV37" s="315" t="str">
        <f t="shared" ca="1" si="26"/>
        <v/>
      </c>
      <c r="AW37" s="315" t="str">
        <f t="shared" ca="1" si="26"/>
        <v/>
      </c>
      <c r="AX37" s="315" t="str">
        <f t="shared" ca="1" si="26"/>
        <v/>
      </c>
      <c r="AY37" s="114"/>
    </row>
    <row r="38" spans="1:53" ht="15.6">
      <c r="B38" s="458" t="s">
        <v>517</v>
      </c>
      <c r="C38" s="461" t="s">
        <v>250</v>
      </c>
      <c r="D38" s="459" t="s">
        <v>223</v>
      </c>
      <c r="E38" s="460" t="s">
        <v>251</v>
      </c>
      <c r="F38" s="108"/>
      <c r="G38" s="410">
        <f ca="1">SUM(G8:G37)</f>
        <v>1</v>
      </c>
      <c r="H38" s="415">
        <f>SUM(H8:H37)</f>
        <v>1</v>
      </c>
      <c r="I38" s="415">
        <f>SUM(I8:I37)</f>
        <v>1</v>
      </c>
      <c r="J38" s="415">
        <f>SUM(J8:J37)</f>
        <v>1</v>
      </c>
      <c r="K38" s="411"/>
      <c r="L38" s="267"/>
      <c r="M38" s="412" t="s">
        <v>307</v>
      </c>
      <c r="N38" s="405">
        <f ca="1">SUMPRODUCT($G$8:$G$37,N8:N37)</f>
        <v>275000</v>
      </c>
      <c r="O38" s="405">
        <f ca="1">SUMPRODUCT($G$8:$G$37,O8:O37)</f>
        <v>358697.78274057916</v>
      </c>
      <c r="P38" s="478">
        <f ca="1">SUMPRODUCT($G$8:$G$37,P8:P37)</f>
        <v>75000</v>
      </c>
      <c r="Q38" s="166"/>
      <c r="R38" s="273"/>
      <c r="S38"/>
      <c r="T38" s="270"/>
      <c r="U38" s="310"/>
      <c r="V38" s="310"/>
      <c r="W38" s="310"/>
      <c r="X38" s="310"/>
      <c r="Y38" s="310"/>
      <c r="Z38" s="426"/>
      <c r="AA38" s="310"/>
      <c r="AB38" s="310"/>
      <c r="AC38" s="310"/>
      <c r="AD38" s="310"/>
      <c r="AE38" s="310"/>
      <c r="AF38" s="426"/>
      <c r="AG38" s="310"/>
      <c r="AH38" s="310"/>
      <c r="AI38" s="310"/>
      <c r="AJ38" s="310"/>
      <c r="AK38" s="310"/>
      <c r="AL38" s="426"/>
      <c r="AM38" s="310"/>
      <c r="AN38" s="310"/>
      <c r="AO38" s="310"/>
      <c r="AP38" s="310"/>
      <c r="AQ38" s="310"/>
      <c r="AR38" s="426"/>
      <c r="AS38" s="310"/>
      <c r="AT38" s="310"/>
      <c r="AU38" s="310"/>
      <c r="AV38" s="310"/>
      <c r="AW38" s="310"/>
      <c r="AX38" s="310"/>
      <c r="AY38" s="114"/>
    </row>
    <row r="39" spans="1:53" ht="31.9" thickBot="1">
      <c r="B39" s="300" t="s">
        <v>519</v>
      </c>
      <c r="C39" s="303">
        <f ca="1">O38</f>
        <v>358697.78274057916</v>
      </c>
      <c r="D39" s="301">
        <f ca="1">IF($G$38&gt;0,C39/$G$38,0)</f>
        <v>358697.78274057916</v>
      </c>
      <c r="E39" s="302">
        <f ca="1">C39/$C$40</f>
        <v>1</v>
      </c>
      <c r="F39" s="117"/>
      <c r="J39" s="151"/>
      <c r="K39" s="151"/>
      <c r="Q39" s="47"/>
      <c r="R39" s="273"/>
      <c r="S39"/>
      <c r="T39" s="321" t="s">
        <v>521</v>
      </c>
      <c r="U39" s="311"/>
      <c r="V39" s="311"/>
      <c r="W39" s="311"/>
      <c r="X39" s="311"/>
      <c r="Y39" s="311"/>
      <c r="Z39" s="427"/>
      <c r="AA39" s="311"/>
      <c r="AB39" s="311"/>
      <c r="AC39" s="311"/>
      <c r="AD39" s="311"/>
      <c r="AE39" s="311"/>
      <c r="AF39" s="427"/>
      <c r="AG39" s="311"/>
      <c r="AH39" s="311"/>
      <c r="AI39" s="311"/>
      <c r="AJ39" s="311"/>
      <c r="AK39" s="311"/>
      <c r="AL39" s="427"/>
      <c r="AM39" s="311"/>
      <c r="AN39" s="311"/>
      <c r="AO39" s="311"/>
      <c r="AP39" s="311"/>
      <c r="AQ39" s="311"/>
      <c r="AR39" s="427"/>
      <c r="AS39" s="311"/>
      <c r="AT39" s="311"/>
      <c r="AU39" s="311"/>
      <c r="AV39" s="311"/>
      <c r="AW39" s="311"/>
      <c r="AX39" s="311"/>
      <c r="AY39" s="114"/>
    </row>
    <row r="40" spans="1:53" ht="16.149999999999999" thickTop="1">
      <c r="B40" s="93" t="s">
        <v>520</v>
      </c>
      <c r="C40" s="115">
        <f ca="1">C39</f>
        <v>358697.78274057916</v>
      </c>
      <c r="D40" s="115">
        <f ca="1">D39</f>
        <v>358697.78274057916</v>
      </c>
      <c r="E40" s="309">
        <f ca="1">E39</f>
        <v>1</v>
      </c>
      <c r="F40" s="117"/>
      <c r="G40" s="86"/>
      <c r="H40" s="152"/>
      <c r="I40" s="152"/>
      <c r="J40" s="153"/>
      <c r="K40" s="153"/>
      <c r="L40" s="86"/>
      <c r="M40" s="86"/>
      <c r="N40" s="86"/>
      <c r="O40" s="86"/>
      <c r="P40" s="86"/>
      <c r="Q40" s="48"/>
      <c r="R40" s="273"/>
      <c r="S40"/>
      <c r="T40" s="322" t="s">
        <v>522</v>
      </c>
      <c r="U40" s="311"/>
      <c r="V40" s="311"/>
      <c r="W40" s="311"/>
      <c r="X40" s="311"/>
      <c r="Y40" s="311"/>
      <c r="Z40" s="427"/>
      <c r="AA40" s="311"/>
      <c r="AB40" s="311"/>
      <c r="AC40" s="311"/>
      <c r="AD40" s="311"/>
      <c r="AE40" s="311"/>
      <c r="AF40" s="427"/>
      <c r="AG40" s="311"/>
      <c r="AH40" s="311"/>
      <c r="AI40" s="311"/>
      <c r="AJ40" s="311"/>
      <c r="AK40" s="311"/>
      <c r="AL40" s="427"/>
      <c r="AM40" s="311"/>
      <c r="AN40" s="311"/>
      <c r="AO40" s="311"/>
      <c r="AP40" s="311"/>
      <c r="AQ40" s="311"/>
      <c r="AR40" s="427"/>
      <c r="AS40" s="311"/>
      <c r="AT40" s="311"/>
      <c r="AU40" s="311"/>
      <c r="AV40" s="311"/>
      <c r="AW40" s="311"/>
      <c r="AX40" s="311"/>
      <c r="AY40" s="114"/>
    </row>
    <row r="41" spans="1:53" ht="17.45">
      <c r="B41" s="97"/>
      <c r="C41" s="115"/>
      <c r="D41" s="115"/>
      <c r="E41" s="116"/>
      <c r="F41" s="117"/>
      <c r="G41" s="442" t="s">
        <v>321</v>
      </c>
      <c r="H41" s="443"/>
      <c r="I41" s="444" t="s">
        <v>322</v>
      </c>
      <c r="J41" s="445" t="s">
        <v>323</v>
      </c>
      <c r="K41" s="154"/>
      <c r="L41" s="442" t="s">
        <v>312</v>
      </c>
      <c r="M41" s="446"/>
      <c r="N41" s="446"/>
      <c r="O41" s="32" t="s">
        <v>171</v>
      </c>
      <c r="P41" s="613">
        <v>1</v>
      </c>
      <c r="Q41" s="49"/>
      <c r="R41" s="282"/>
      <c r="S41"/>
      <c r="T41" s="323" t="s">
        <v>523</v>
      </c>
      <c r="U41" s="316" t="str">
        <f ca="1">U36</f>
        <v/>
      </c>
      <c r="V41" s="316" t="str">
        <f t="shared" ref="V41:AX41" ca="1" si="27">V36</f>
        <v/>
      </c>
      <c r="W41" s="316" t="str">
        <f t="shared" ca="1" si="27"/>
        <v/>
      </c>
      <c r="X41" s="316" t="str">
        <f t="shared" ca="1" si="27"/>
        <v/>
      </c>
      <c r="Y41" s="316" t="str">
        <f t="shared" ca="1" si="27"/>
        <v/>
      </c>
      <c r="Z41" s="428" t="str">
        <f t="shared" ca="1" si="27"/>
        <v/>
      </c>
      <c r="AA41" s="316" t="str">
        <f t="shared" ca="1" si="27"/>
        <v/>
      </c>
      <c r="AB41" s="316" t="str">
        <f t="shared" ca="1" si="27"/>
        <v/>
      </c>
      <c r="AC41" s="316">
        <f t="shared" ca="1" si="27"/>
        <v>286697.78274057916</v>
      </c>
      <c r="AD41" s="316" t="str">
        <f t="shared" ca="1" si="27"/>
        <v/>
      </c>
      <c r="AE41" s="316" t="str">
        <f t="shared" ca="1" si="27"/>
        <v/>
      </c>
      <c r="AF41" s="428" t="str">
        <f t="shared" ca="1" si="27"/>
        <v/>
      </c>
      <c r="AG41" s="316" t="str">
        <f t="shared" ca="1" si="27"/>
        <v/>
      </c>
      <c r="AH41" s="316" t="str">
        <f t="shared" ca="1" si="27"/>
        <v/>
      </c>
      <c r="AI41" s="316" t="str">
        <f t="shared" ca="1" si="27"/>
        <v/>
      </c>
      <c r="AJ41" s="316" t="str">
        <f t="shared" ca="1" si="27"/>
        <v/>
      </c>
      <c r="AK41" s="316" t="str">
        <f t="shared" ca="1" si="27"/>
        <v/>
      </c>
      <c r="AL41" s="428" t="str">
        <f t="shared" ca="1" si="27"/>
        <v/>
      </c>
      <c r="AM41" s="316" t="str">
        <f t="shared" ca="1" si="27"/>
        <v/>
      </c>
      <c r="AN41" s="316" t="str">
        <f t="shared" ca="1" si="27"/>
        <v/>
      </c>
      <c r="AO41" s="316" t="str">
        <f t="shared" ca="1" si="27"/>
        <v/>
      </c>
      <c r="AP41" s="316" t="str">
        <f t="shared" ca="1" si="27"/>
        <v/>
      </c>
      <c r="AQ41" s="316" t="str">
        <f t="shared" ca="1" si="27"/>
        <v/>
      </c>
      <c r="AR41" s="428" t="str">
        <f t="shared" ca="1" si="27"/>
        <v/>
      </c>
      <c r="AS41" s="316" t="str">
        <f t="shared" ca="1" si="27"/>
        <v/>
      </c>
      <c r="AT41" s="316" t="str">
        <f t="shared" ca="1" si="27"/>
        <v/>
      </c>
      <c r="AU41" s="316" t="str">
        <f t="shared" ca="1" si="27"/>
        <v/>
      </c>
      <c r="AV41" s="316" t="str">
        <f t="shared" ca="1" si="27"/>
        <v/>
      </c>
      <c r="AW41" s="316" t="str">
        <f t="shared" ca="1" si="27"/>
        <v/>
      </c>
      <c r="AX41" s="316" t="str">
        <f t="shared" ca="1" si="27"/>
        <v/>
      </c>
      <c r="AY41" s="114"/>
    </row>
    <row r="42" spans="1:53" ht="15" thickBot="1">
      <c r="B42" s="95" t="s">
        <v>328</v>
      </c>
      <c r="C42" s="139">
        <f ca="1">C40-C36</f>
        <v>-272719.18010317086</v>
      </c>
      <c r="D42" s="139">
        <f ca="1">D40-D36</f>
        <v>-272719.18010317086</v>
      </c>
      <c r="E42" s="470"/>
      <c r="F42" s="117"/>
      <c r="G42" s="52" t="s">
        <v>329</v>
      </c>
      <c r="H42" s="156"/>
      <c r="I42" s="157"/>
      <c r="J42" s="158"/>
      <c r="K42" s="157"/>
      <c r="L42" s="53"/>
      <c r="M42" s="506" t="s">
        <v>181</v>
      </c>
      <c r="N42" s="17">
        <v>1</v>
      </c>
      <c r="O42" s="16">
        <v>2</v>
      </c>
      <c r="P42" s="18">
        <v>3</v>
      </c>
      <c r="Q42" s="180"/>
      <c r="R42" s="324"/>
      <c r="S42" s="325"/>
      <c r="T42" s="326">
        <v>3</v>
      </c>
      <c r="U42" s="315" t="str">
        <f ca="1">IFERROR((CUMPRINC(U$18/12,30*12,U$41,1,$T42*12,0)+U$41),"")</f>
        <v/>
      </c>
      <c r="V42" s="315" t="str">
        <f t="shared" ref="V42:AX47" ca="1" si="28">IFERROR((CUMPRINC(V$18/12,30*12,V$41,1,$T42*12,0)+V$41),"")</f>
        <v/>
      </c>
      <c r="W42" s="315" t="str">
        <f t="shared" ca="1" si="28"/>
        <v/>
      </c>
      <c r="X42" s="315" t="str">
        <f t="shared" ca="1" si="28"/>
        <v/>
      </c>
      <c r="Y42" s="315" t="str">
        <f t="shared" ca="1" si="28"/>
        <v/>
      </c>
      <c r="Z42" s="315" t="str">
        <f t="shared" ca="1" si="28"/>
        <v/>
      </c>
      <c r="AA42" s="315" t="str">
        <f t="shared" ca="1" si="28"/>
        <v/>
      </c>
      <c r="AB42" s="315" t="str">
        <f t="shared" ca="1" si="28"/>
        <v/>
      </c>
      <c r="AC42" s="315">
        <f t="shared" ca="1" si="28"/>
        <v>275468.91889266518</v>
      </c>
      <c r="AD42" s="315" t="str">
        <f t="shared" ca="1" si="28"/>
        <v/>
      </c>
      <c r="AE42" s="315" t="str">
        <f t="shared" ca="1" si="28"/>
        <v/>
      </c>
      <c r="AF42" s="315" t="str">
        <f t="shared" ca="1" si="28"/>
        <v/>
      </c>
      <c r="AG42" s="315" t="str">
        <f t="shared" ca="1" si="28"/>
        <v/>
      </c>
      <c r="AH42" s="315" t="str">
        <f t="shared" ca="1" si="28"/>
        <v/>
      </c>
      <c r="AI42" s="315" t="str">
        <f t="shared" ca="1" si="28"/>
        <v/>
      </c>
      <c r="AJ42" s="315" t="str">
        <f t="shared" ca="1" si="28"/>
        <v/>
      </c>
      <c r="AK42" s="315" t="str">
        <f t="shared" ca="1" si="28"/>
        <v/>
      </c>
      <c r="AL42" s="315" t="str">
        <f t="shared" ca="1" si="28"/>
        <v/>
      </c>
      <c r="AM42" s="315" t="str">
        <f t="shared" ca="1" si="28"/>
        <v/>
      </c>
      <c r="AN42" s="315" t="str">
        <f t="shared" ca="1" si="28"/>
        <v/>
      </c>
      <c r="AO42" s="315" t="str">
        <f t="shared" ca="1" si="28"/>
        <v/>
      </c>
      <c r="AP42" s="315" t="str">
        <f t="shared" ca="1" si="28"/>
        <v/>
      </c>
      <c r="AQ42" s="315" t="str">
        <f t="shared" ca="1" si="28"/>
        <v/>
      </c>
      <c r="AR42" s="315" t="str">
        <f t="shared" ca="1" si="28"/>
        <v/>
      </c>
      <c r="AS42" s="315" t="str">
        <f t="shared" ca="1" si="28"/>
        <v/>
      </c>
      <c r="AT42" s="315" t="str">
        <f t="shared" ca="1" si="28"/>
        <v/>
      </c>
      <c r="AU42" s="315" t="str">
        <f t="shared" ca="1" si="28"/>
        <v/>
      </c>
      <c r="AV42" s="315" t="str">
        <f t="shared" ca="1" si="28"/>
        <v/>
      </c>
      <c r="AW42" s="315" t="str">
        <f t="shared" ca="1" si="28"/>
        <v/>
      </c>
      <c r="AX42" s="315" t="str">
        <f t="shared" ca="1" si="28"/>
        <v/>
      </c>
      <c r="AY42" s="114"/>
    </row>
    <row r="43" spans="1:53" ht="16.899999999999999" thickTop="1" thickBot="1">
      <c r="B43" s="299"/>
      <c r="C43" s="135"/>
      <c r="D43" s="135"/>
      <c r="E43" s="117"/>
      <c r="F43" s="136"/>
      <c r="G43" s="28" t="s">
        <v>329</v>
      </c>
      <c r="H43" s="79"/>
      <c r="I43" s="603">
        <v>500000</v>
      </c>
      <c r="J43" s="159">
        <f ca="1">I43/$G$38</f>
        <v>500000</v>
      </c>
      <c r="K43" s="160"/>
      <c r="L43" s="53"/>
      <c r="M43" s="504" t="s">
        <v>186</v>
      </c>
      <c r="N43" s="600" t="s">
        <v>270</v>
      </c>
      <c r="O43" s="601" t="s">
        <v>460</v>
      </c>
      <c r="P43" s="614" t="s">
        <v>272</v>
      </c>
      <c r="Q43" s="184"/>
      <c r="R43" s="282"/>
      <c r="S43"/>
      <c r="T43" s="326">
        <v>5</v>
      </c>
      <c r="U43" s="315" t="str">
        <f t="shared" ref="U43:AJ47" ca="1" si="29">IFERROR((CUMPRINC(U$18/12,30*12,U$41,1,$T43*12,0)+U$41),"")</f>
        <v/>
      </c>
      <c r="V43" s="315" t="str">
        <f t="shared" ca="1" si="29"/>
        <v/>
      </c>
      <c r="W43" s="315" t="str">
        <f t="shared" ca="1" si="29"/>
        <v/>
      </c>
      <c r="X43" s="315" t="str">
        <f t="shared" ca="1" si="29"/>
        <v/>
      </c>
      <c r="Y43" s="315" t="str">
        <f t="shared" ca="1" si="29"/>
        <v/>
      </c>
      <c r="Z43" s="315" t="str">
        <f t="shared" ca="1" si="29"/>
        <v/>
      </c>
      <c r="AA43" s="315" t="str">
        <f t="shared" ca="1" si="29"/>
        <v/>
      </c>
      <c r="AB43" s="315" t="str">
        <f t="shared" ca="1" si="29"/>
        <v/>
      </c>
      <c r="AC43" s="315">
        <f t="shared" ca="1" si="29"/>
        <v>266781.48045713914</v>
      </c>
      <c r="AD43" s="315" t="str">
        <f t="shared" ca="1" si="29"/>
        <v/>
      </c>
      <c r="AE43" s="315" t="str">
        <f t="shared" ca="1" si="29"/>
        <v/>
      </c>
      <c r="AF43" s="315" t="str">
        <f t="shared" ca="1" si="29"/>
        <v/>
      </c>
      <c r="AG43" s="315" t="str">
        <f t="shared" ca="1" si="29"/>
        <v/>
      </c>
      <c r="AH43" s="315" t="str">
        <f t="shared" ca="1" si="29"/>
        <v/>
      </c>
      <c r="AI43" s="315" t="str">
        <f t="shared" ca="1" si="29"/>
        <v/>
      </c>
      <c r="AJ43" s="315" t="str">
        <f t="shared" ca="1" si="29"/>
        <v/>
      </c>
      <c r="AK43" s="315" t="str">
        <f t="shared" ca="1" si="28"/>
        <v/>
      </c>
      <c r="AL43" s="315" t="str">
        <f t="shared" ca="1" si="28"/>
        <v/>
      </c>
      <c r="AM43" s="315" t="str">
        <f t="shared" ca="1" si="28"/>
        <v/>
      </c>
      <c r="AN43" s="315" t="str">
        <f t="shared" ca="1" si="28"/>
        <v/>
      </c>
      <c r="AO43" s="315" t="str">
        <f t="shared" ca="1" si="28"/>
        <v/>
      </c>
      <c r="AP43" s="315" t="str">
        <f t="shared" ca="1" si="28"/>
        <v/>
      </c>
      <c r="AQ43" s="315" t="str">
        <f t="shared" ca="1" si="28"/>
        <v/>
      </c>
      <c r="AR43" s="315" t="str">
        <f t="shared" ca="1" si="28"/>
        <v/>
      </c>
      <c r="AS43" s="315" t="str">
        <f t="shared" ca="1" si="28"/>
        <v/>
      </c>
      <c r="AT43" s="315" t="str">
        <f t="shared" ca="1" si="28"/>
        <v/>
      </c>
      <c r="AU43" s="315" t="str">
        <f t="shared" ca="1" si="28"/>
        <v/>
      </c>
      <c r="AV43" s="315" t="str">
        <f t="shared" ca="1" si="28"/>
        <v/>
      </c>
      <c r="AW43" s="315" t="str">
        <f t="shared" ca="1" si="28"/>
        <v/>
      </c>
      <c r="AX43" s="315" t="str">
        <f t="shared" ca="1" si="28"/>
        <v/>
      </c>
      <c r="AY43" s="114"/>
    </row>
    <row r="44" spans="1:53" ht="14.65" customHeight="1">
      <c r="B44" s="466" t="s">
        <v>524</v>
      </c>
      <c r="C44" s="479" cm="1">
        <f t="array" aca="1" ref="C44" ca="1">_xlfn.IFS(C30+C42&lt;0,C30+C42,C30+C42=0,0,C30+C42&gt;0,C30+C42)</f>
        <v>-254524.83438442083</v>
      </c>
      <c r="D44" s="480">
        <f ca="1">IF(G38&gt;0,C44/G38,0)</f>
        <v>-254524.83438442083</v>
      </c>
      <c r="E44" s="481"/>
      <c r="F44" s="108"/>
      <c r="G44" s="172" t="s">
        <v>461</v>
      </c>
      <c r="H44" s="173"/>
      <c r="I44" s="604">
        <v>0</v>
      </c>
      <c r="J44" s="211">
        <f ca="1">I44/$G$38</f>
        <v>0</v>
      </c>
      <c r="K44" s="160"/>
      <c r="L44" s="54" t="s">
        <v>324</v>
      </c>
      <c r="M44" s="163"/>
      <c r="N44" s="164"/>
      <c r="O44" s="164"/>
      <c r="P44" s="165"/>
      <c r="Q44" s="186"/>
      <c r="R44" s="282"/>
      <c r="S44"/>
      <c r="T44" s="326">
        <v>7</v>
      </c>
      <c r="U44" s="315" t="str">
        <f t="shared" ca="1" si="29"/>
        <v/>
      </c>
      <c r="V44" s="315" t="str">
        <f t="shared" ca="1" si="28"/>
        <v/>
      </c>
      <c r="W44" s="315" t="str">
        <f t="shared" ca="1" si="28"/>
        <v/>
      </c>
      <c r="X44" s="315" t="str">
        <f t="shared" ca="1" si="28"/>
        <v/>
      </c>
      <c r="Y44" s="315" t="str">
        <f t="shared" ca="1" si="28"/>
        <v/>
      </c>
      <c r="Z44" s="315" t="str">
        <f t="shared" ca="1" si="28"/>
        <v/>
      </c>
      <c r="AA44" s="315" t="str">
        <f t="shared" ca="1" si="28"/>
        <v/>
      </c>
      <c r="AB44" s="315" t="str">
        <f t="shared" ca="1" si="28"/>
        <v/>
      </c>
      <c r="AC44" s="315">
        <f t="shared" ca="1" si="28"/>
        <v>256989.54416077709</v>
      </c>
      <c r="AD44" s="315" t="str">
        <f t="shared" ca="1" si="28"/>
        <v/>
      </c>
      <c r="AE44" s="315" t="str">
        <f t="shared" ca="1" si="28"/>
        <v/>
      </c>
      <c r="AF44" s="315" t="str">
        <f t="shared" ca="1" si="28"/>
        <v/>
      </c>
      <c r="AG44" s="315" t="str">
        <f t="shared" ca="1" si="28"/>
        <v/>
      </c>
      <c r="AH44" s="315" t="str">
        <f t="shared" ca="1" si="28"/>
        <v/>
      </c>
      <c r="AI44" s="315" t="str">
        <f t="shared" ca="1" si="28"/>
        <v/>
      </c>
      <c r="AJ44" s="315" t="str">
        <f t="shared" ca="1" si="28"/>
        <v/>
      </c>
      <c r="AK44" s="315" t="str">
        <f t="shared" ca="1" si="28"/>
        <v/>
      </c>
      <c r="AL44" s="315" t="str">
        <f t="shared" ca="1" si="28"/>
        <v/>
      </c>
      <c r="AM44" s="315" t="str">
        <f t="shared" ca="1" si="28"/>
        <v/>
      </c>
      <c r="AN44" s="315" t="str">
        <f t="shared" ca="1" si="28"/>
        <v/>
      </c>
      <c r="AO44" s="315" t="str">
        <f t="shared" ca="1" si="28"/>
        <v/>
      </c>
      <c r="AP44" s="315" t="str">
        <f t="shared" ca="1" si="28"/>
        <v/>
      </c>
      <c r="AQ44" s="315" t="str">
        <f t="shared" ca="1" si="28"/>
        <v/>
      </c>
      <c r="AR44" s="315" t="str">
        <f t="shared" ca="1" si="28"/>
        <v/>
      </c>
      <c r="AS44" s="315" t="str">
        <f t="shared" ca="1" si="28"/>
        <v/>
      </c>
      <c r="AT44" s="315" t="str">
        <f t="shared" ca="1" si="28"/>
        <v/>
      </c>
      <c r="AU44" s="315" t="str">
        <f t="shared" ca="1" si="28"/>
        <v/>
      </c>
      <c r="AV44" s="315" t="str">
        <f t="shared" ca="1" si="28"/>
        <v/>
      </c>
      <c r="AW44" s="315" t="str">
        <f t="shared" ca="1" si="28"/>
        <v/>
      </c>
      <c r="AX44" s="315" t="str">
        <f t="shared" ca="1" si="28"/>
        <v/>
      </c>
      <c r="AY44" s="114"/>
    </row>
    <row r="45" spans="1:53" ht="14.45">
      <c r="B45" s="9"/>
      <c r="C45" s="482"/>
      <c r="D45" s="482"/>
      <c r="E45" s="483"/>
      <c r="F45" s="117"/>
      <c r="G45" s="175" t="s">
        <v>334</v>
      </c>
      <c r="H45" s="176"/>
      <c r="I45" s="177">
        <f>SUM(I43:I44)</f>
        <v>500000</v>
      </c>
      <c r="J45" s="177">
        <f ca="1">SUM(J43:J44)</f>
        <v>500000</v>
      </c>
      <c r="K45" s="160"/>
      <c r="L45" s="66" t="s">
        <v>325</v>
      </c>
      <c r="M45" s="74">
        <f ca="1">IF(ISBLANK(OFFSET(M45,0,$P$41)),$N45,OFFSET(M45,0,$P$41))</f>
        <v>0.75</v>
      </c>
      <c r="N45" s="615">
        <v>0.75</v>
      </c>
      <c r="O45" s="616">
        <v>0.25</v>
      </c>
      <c r="P45" s="617"/>
      <c r="Q45" s="191"/>
      <c r="R45" s="282"/>
      <c r="S45"/>
      <c r="T45" s="326">
        <v>10</v>
      </c>
      <c r="U45" s="315" t="str">
        <f t="shared" ca="1" si="29"/>
        <v/>
      </c>
      <c r="V45" s="315" t="str">
        <f t="shared" ca="1" si="28"/>
        <v/>
      </c>
      <c r="W45" s="315" t="str">
        <f t="shared" ca="1" si="28"/>
        <v/>
      </c>
      <c r="X45" s="315" t="str">
        <f t="shared" ca="1" si="28"/>
        <v/>
      </c>
      <c r="Y45" s="315" t="str">
        <f t="shared" ca="1" si="28"/>
        <v/>
      </c>
      <c r="Z45" s="315" t="str">
        <f t="shared" ca="1" si="28"/>
        <v/>
      </c>
      <c r="AA45" s="315" t="str">
        <f t="shared" ca="1" si="28"/>
        <v/>
      </c>
      <c r="AB45" s="315" t="str">
        <f t="shared" ca="1" si="28"/>
        <v/>
      </c>
      <c r="AC45" s="315">
        <f t="shared" ca="1" si="28"/>
        <v>239918.7095739654</v>
      </c>
      <c r="AD45" s="315" t="str">
        <f t="shared" ca="1" si="28"/>
        <v/>
      </c>
      <c r="AE45" s="315" t="str">
        <f t="shared" ca="1" si="28"/>
        <v/>
      </c>
      <c r="AF45" s="315" t="str">
        <f t="shared" ca="1" si="28"/>
        <v/>
      </c>
      <c r="AG45" s="315" t="str">
        <f t="shared" ca="1" si="28"/>
        <v/>
      </c>
      <c r="AH45" s="315" t="str">
        <f t="shared" ca="1" si="28"/>
        <v/>
      </c>
      <c r="AI45" s="315" t="str">
        <f t="shared" ca="1" si="28"/>
        <v/>
      </c>
      <c r="AJ45" s="315" t="str">
        <f t="shared" ca="1" si="28"/>
        <v/>
      </c>
      <c r="AK45" s="315" t="str">
        <f t="shared" ca="1" si="28"/>
        <v/>
      </c>
      <c r="AL45" s="315" t="str">
        <f t="shared" ca="1" si="28"/>
        <v/>
      </c>
      <c r="AM45" s="315" t="str">
        <f t="shared" ca="1" si="28"/>
        <v/>
      </c>
      <c r="AN45" s="315" t="str">
        <f t="shared" ca="1" si="28"/>
        <v/>
      </c>
      <c r="AO45" s="315" t="str">
        <f t="shared" ca="1" si="28"/>
        <v/>
      </c>
      <c r="AP45" s="315" t="str">
        <f t="shared" ca="1" si="28"/>
        <v/>
      </c>
      <c r="AQ45" s="315" t="str">
        <f t="shared" ca="1" si="28"/>
        <v/>
      </c>
      <c r="AR45" s="315" t="str">
        <f t="shared" ca="1" si="28"/>
        <v/>
      </c>
      <c r="AS45" s="315" t="str">
        <f t="shared" ca="1" si="28"/>
        <v/>
      </c>
      <c r="AT45" s="315" t="str">
        <f t="shared" ca="1" si="28"/>
        <v/>
      </c>
      <c r="AU45" s="315" t="str">
        <f t="shared" ca="1" si="28"/>
        <v/>
      </c>
      <c r="AV45" s="315" t="str">
        <f t="shared" ca="1" si="28"/>
        <v/>
      </c>
      <c r="AW45" s="315" t="str">
        <f t="shared" ca="1" si="28"/>
        <v/>
      </c>
      <c r="AX45" s="315" t="str">
        <f t="shared" ca="1" si="28"/>
        <v/>
      </c>
      <c r="AY45" s="114"/>
    </row>
    <row r="46" spans="1:53" ht="15" thickBot="1">
      <c r="B46" s="471" t="s">
        <v>458</v>
      </c>
      <c r="C46" s="472">
        <f ca="1">P38</f>
        <v>75000</v>
      </c>
      <c r="D46" s="472">
        <f ca="1">IF(G38&gt;0,C46/G38,0)</f>
        <v>75000</v>
      </c>
      <c r="E46" s="107"/>
      <c r="F46" s="117"/>
      <c r="G46" s="28"/>
      <c r="H46" s="79"/>
      <c r="I46" s="179"/>
      <c r="J46" s="159"/>
      <c r="K46" s="160"/>
      <c r="L46" s="12" t="s">
        <v>280</v>
      </c>
      <c r="M46" s="23">
        <f ca="1">IF(ISBLANK(OFFSET(M46,0,$P$41)),$N46,OFFSET(M46,0,$P$41))</f>
        <v>7.4999999999999997E-2</v>
      </c>
      <c r="N46" s="618">
        <v>7.4999999999999997E-2</v>
      </c>
      <c r="O46" s="619"/>
      <c r="P46" s="620"/>
      <c r="Q46" s="191"/>
      <c r="R46" s="282"/>
      <c r="S46"/>
      <c r="T46" s="326">
        <v>15</v>
      </c>
      <c r="U46" s="315" t="str">
        <f t="shared" ca="1" si="29"/>
        <v/>
      </c>
      <c r="V46" s="315" t="str">
        <f t="shared" ca="1" si="28"/>
        <v/>
      </c>
      <c r="W46" s="315" t="str">
        <f t="shared" ca="1" si="28"/>
        <v/>
      </c>
      <c r="X46" s="315" t="str">
        <f t="shared" ca="1" si="28"/>
        <v/>
      </c>
      <c r="Y46" s="315" t="str">
        <f t="shared" ca="1" si="28"/>
        <v/>
      </c>
      <c r="Z46" s="315" t="str">
        <f t="shared" ca="1" si="28"/>
        <v/>
      </c>
      <c r="AA46" s="315" t="str">
        <f t="shared" ca="1" si="28"/>
        <v/>
      </c>
      <c r="AB46" s="315" t="str">
        <f t="shared" ca="1" si="28"/>
        <v/>
      </c>
      <c r="AC46" s="315">
        <f t="shared" ca="1" si="28"/>
        <v>203686.65960543856</v>
      </c>
      <c r="AD46" s="315" t="str">
        <f t="shared" ca="1" si="28"/>
        <v/>
      </c>
      <c r="AE46" s="315" t="str">
        <f t="shared" ca="1" si="28"/>
        <v/>
      </c>
      <c r="AF46" s="315" t="str">
        <f t="shared" ca="1" si="28"/>
        <v/>
      </c>
      <c r="AG46" s="315" t="str">
        <f t="shared" ca="1" si="28"/>
        <v/>
      </c>
      <c r="AH46" s="315" t="str">
        <f t="shared" ca="1" si="28"/>
        <v/>
      </c>
      <c r="AI46" s="315" t="str">
        <f t="shared" ca="1" si="28"/>
        <v/>
      </c>
      <c r="AJ46" s="315" t="str">
        <f t="shared" ca="1" si="28"/>
        <v/>
      </c>
      <c r="AK46" s="315" t="str">
        <f t="shared" ca="1" si="28"/>
        <v/>
      </c>
      <c r="AL46" s="315" t="str">
        <f t="shared" ca="1" si="28"/>
        <v/>
      </c>
      <c r="AM46" s="315" t="str">
        <f t="shared" ca="1" si="28"/>
        <v/>
      </c>
      <c r="AN46" s="315" t="str">
        <f t="shared" ca="1" si="28"/>
        <v/>
      </c>
      <c r="AO46" s="315" t="str">
        <f t="shared" ca="1" si="28"/>
        <v/>
      </c>
      <c r="AP46" s="315" t="str">
        <f t="shared" ca="1" si="28"/>
        <v/>
      </c>
      <c r="AQ46" s="315" t="str">
        <f t="shared" ca="1" si="28"/>
        <v/>
      </c>
      <c r="AR46" s="315" t="str">
        <f t="shared" ca="1" si="28"/>
        <v/>
      </c>
      <c r="AS46" s="315" t="str">
        <f t="shared" ca="1" si="28"/>
        <v/>
      </c>
      <c r="AT46" s="315" t="str">
        <f t="shared" ca="1" si="28"/>
        <v/>
      </c>
      <c r="AU46" s="315" t="str">
        <f t="shared" ca="1" si="28"/>
        <v/>
      </c>
      <c r="AV46" s="315" t="str">
        <f t="shared" ca="1" si="28"/>
        <v/>
      </c>
      <c r="AW46" s="315" t="str">
        <f t="shared" ca="1" si="28"/>
        <v/>
      </c>
      <c r="AX46" s="315" t="str">
        <f t="shared" ca="1" si="28"/>
        <v/>
      </c>
      <c r="AY46" s="114"/>
    </row>
    <row r="47" spans="1:53" ht="28.15" thickBot="1">
      <c r="B47" s="467" t="s">
        <v>525</v>
      </c>
      <c r="C47" s="468">
        <f ca="1">SUM(C25:C27,C46)</f>
        <v>225000</v>
      </c>
      <c r="D47" s="468">
        <f ca="1">IF(G38&gt;0,C47/G38,0)</f>
        <v>225000</v>
      </c>
      <c r="E47" s="469"/>
      <c r="F47" s="117"/>
      <c r="G47" s="28"/>
      <c r="H47" s="79"/>
      <c r="I47" s="179"/>
      <c r="J47" s="159"/>
      <c r="K47" s="178"/>
      <c r="L47" s="12" t="s">
        <v>332</v>
      </c>
      <c r="M47" s="59">
        <f ca="1">IF(ISBLANK(OFFSET(M47,0,$P$41)),$N47,OFFSET(M47,0,$P$41))</f>
        <v>3</v>
      </c>
      <c r="N47" s="621">
        <v>3</v>
      </c>
      <c r="O47" s="622"/>
      <c r="P47" s="623"/>
      <c r="Q47" s="191"/>
      <c r="R47" s="282"/>
      <c r="S47"/>
      <c r="T47" s="326">
        <v>20</v>
      </c>
      <c r="U47" s="315" t="str">
        <f t="shared" ca="1" si="29"/>
        <v/>
      </c>
      <c r="V47" s="315" t="str">
        <f t="shared" ca="1" si="28"/>
        <v/>
      </c>
      <c r="W47" s="315" t="str">
        <f t="shared" ca="1" si="28"/>
        <v/>
      </c>
      <c r="X47" s="315" t="str">
        <f t="shared" ca="1" si="28"/>
        <v/>
      </c>
      <c r="Y47" s="315" t="str">
        <f t="shared" ca="1" si="28"/>
        <v/>
      </c>
      <c r="Z47" s="315" t="str">
        <f t="shared" ca="1" si="28"/>
        <v/>
      </c>
      <c r="AA47" s="315" t="str">
        <f t="shared" ca="1" si="28"/>
        <v/>
      </c>
      <c r="AB47" s="315" t="str">
        <f t="shared" ca="1" si="28"/>
        <v/>
      </c>
      <c r="AC47" s="315">
        <f t="shared" ca="1" si="28"/>
        <v>154817.48484193292</v>
      </c>
      <c r="AD47" s="315" t="str">
        <f t="shared" ca="1" si="28"/>
        <v/>
      </c>
      <c r="AE47" s="315" t="str">
        <f t="shared" ca="1" si="28"/>
        <v/>
      </c>
      <c r="AF47" s="315" t="str">
        <f t="shared" ca="1" si="28"/>
        <v/>
      </c>
      <c r="AG47" s="315" t="str">
        <f t="shared" ca="1" si="28"/>
        <v/>
      </c>
      <c r="AH47" s="315" t="str">
        <f t="shared" ca="1" si="28"/>
        <v/>
      </c>
      <c r="AI47" s="315" t="str">
        <f t="shared" ca="1" si="28"/>
        <v/>
      </c>
      <c r="AJ47" s="315" t="str">
        <f t="shared" ca="1" si="28"/>
        <v/>
      </c>
      <c r="AK47" s="315" t="str">
        <f t="shared" ca="1" si="28"/>
        <v/>
      </c>
      <c r="AL47" s="315" t="str">
        <f t="shared" ca="1" si="28"/>
        <v/>
      </c>
      <c r="AM47" s="315" t="str">
        <f t="shared" ca="1" si="28"/>
        <v/>
      </c>
      <c r="AN47" s="315" t="str">
        <f t="shared" ca="1" si="28"/>
        <v/>
      </c>
      <c r="AO47" s="315" t="str">
        <f t="shared" ca="1" si="28"/>
        <v/>
      </c>
      <c r="AP47" s="315" t="str">
        <f t="shared" ca="1" si="28"/>
        <v/>
      </c>
      <c r="AQ47" s="315" t="str">
        <f t="shared" ca="1" si="28"/>
        <v/>
      </c>
      <c r="AR47" s="315" t="str">
        <f t="shared" ca="1" si="28"/>
        <v/>
      </c>
      <c r="AS47" s="315" t="str">
        <f t="shared" ca="1" si="28"/>
        <v/>
      </c>
      <c r="AT47" s="315" t="str">
        <f t="shared" ca="1" si="28"/>
        <v/>
      </c>
      <c r="AU47" s="315" t="str">
        <f t="shared" ca="1" si="28"/>
        <v/>
      </c>
      <c r="AV47" s="315" t="str">
        <f t="shared" ca="1" si="28"/>
        <v/>
      </c>
      <c r="AW47" s="315" t="str">
        <f t="shared" ca="1" si="28"/>
        <v/>
      </c>
      <c r="AX47" s="315" t="str">
        <f t="shared" ca="1" si="28"/>
        <v/>
      </c>
      <c r="AY47" s="114"/>
    </row>
    <row r="48" spans="1:53" ht="15" thickBot="1">
      <c r="C48" s="109"/>
      <c r="D48" s="109"/>
      <c r="F48" s="117"/>
      <c r="G48" s="181" t="s">
        <v>234</v>
      </c>
      <c r="H48" s="176"/>
      <c r="I48" s="179"/>
      <c r="J48" s="159"/>
      <c r="K48" s="160"/>
      <c r="L48" s="396" t="s">
        <v>284</v>
      </c>
      <c r="M48" s="388">
        <f ca="1">IF(ISBLANK(OFFSET(M48,0,$P$41)),$N48,OFFSET(M48,0,$P$41))</f>
        <v>0.02</v>
      </c>
      <c r="N48" s="624">
        <v>0.02</v>
      </c>
      <c r="O48" s="625"/>
      <c r="P48" s="626"/>
      <c r="Q48" s="182"/>
      <c r="R48" s="282"/>
      <c r="S48"/>
      <c r="T48" s="326"/>
      <c r="Z48" s="429"/>
      <c r="AF48" s="429"/>
      <c r="AL48" s="429"/>
      <c r="AR48" s="429"/>
      <c r="AY48" s="114"/>
    </row>
    <row r="49" spans="2:51" ht="15.6">
      <c r="B49" s="111"/>
      <c r="C49" s="109"/>
      <c r="D49" s="109"/>
      <c r="F49" s="117"/>
      <c r="G49" s="28" t="s">
        <v>341</v>
      </c>
      <c r="H49" s="79"/>
      <c r="I49" s="603">
        <v>4160</v>
      </c>
      <c r="J49" s="159">
        <f ca="1">I49/$G$38</f>
        <v>4160</v>
      </c>
      <c r="K49" s="160"/>
      <c r="L49" s="175"/>
      <c r="M49" s="176"/>
      <c r="N49" s="182"/>
      <c r="O49" s="166"/>
      <c r="P49" s="183"/>
      <c r="Q49" s="200"/>
      <c r="R49" s="359" t="s">
        <v>526</v>
      </c>
      <c r="S49" s="687">
        <v>0.05</v>
      </c>
      <c r="T49" s="321" t="s">
        <v>527</v>
      </c>
      <c r="U49" s="313"/>
      <c r="V49" s="313"/>
      <c r="W49" s="313"/>
      <c r="X49" s="313"/>
      <c r="Y49" s="313"/>
      <c r="Z49" s="430"/>
      <c r="AA49" s="313"/>
      <c r="AB49" s="313"/>
      <c r="AC49" s="313"/>
      <c r="AD49" s="313"/>
      <c r="AE49" s="313"/>
      <c r="AF49" s="430"/>
      <c r="AG49" s="313"/>
      <c r="AH49" s="313"/>
      <c r="AI49" s="313"/>
      <c r="AJ49" s="313"/>
      <c r="AK49" s="313"/>
      <c r="AL49" s="430"/>
      <c r="AM49" s="313"/>
      <c r="AN49" s="313"/>
      <c r="AO49" s="313"/>
      <c r="AP49" s="313"/>
      <c r="AQ49" s="313"/>
      <c r="AR49" s="430"/>
      <c r="AS49" s="313"/>
      <c r="AT49" s="313"/>
      <c r="AU49" s="313"/>
      <c r="AV49" s="313"/>
      <c r="AW49" s="313"/>
      <c r="AX49" s="313"/>
      <c r="AY49" s="114"/>
    </row>
    <row r="50" spans="2:51" ht="14.65" customHeight="1" thickBot="1">
      <c r="C50" s="109"/>
      <c r="E50" s="102" t="s">
        <v>344</v>
      </c>
      <c r="F50" s="607">
        <v>50870</v>
      </c>
      <c r="G50" s="28" t="s">
        <v>345</v>
      </c>
      <c r="H50" s="79"/>
      <c r="I50" s="109">
        <f ca="1">F50*G38</f>
        <v>50870</v>
      </c>
      <c r="J50" s="159">
        <f ca="1">I50/$G$38</f>
        <v>50870</v>
      </c>
      <c r="K50" s="160"/>
      <c r="L50" s="28"/>
      <c r="M50" s="79"/>
      <c r="N50" s="2"/>
      <c r="O50" s="166"/>
      <c r="P50" s="185"/>
      <c r="Q50" s="204"/>
      <c r="R50" s="67"/>
      <c r="T50" s="323" t="s">
        <v>529</v>
      </c>
      <c r="U50" s="132" t="str">
        <f ca="1">IF(_xlfn.XLOOKUP(U33,$K$8:$K$37,$G$8:$G$37,)&gt;0,_xlfn.XLOOKUP(U33,$K$8:$K$37,$N$8:$N$37),"")</f>
        <v/>
      </c>
      <c r="V50" s="132" t="str">
        <f t="shared" ref="V50:AX50" ca="1" si="30">IF(_xlfn.XLOOKUP(V33,$K$8:$K$37,$G$8:$G$37,)&gt;0,_xlfn.XLOOKUP(V33,$K$8:$K$37,$N$8:$N$37),"")</f>
        <v/>
      </c>
      <c r="W50" s="132" t="str">
        <f t="shared" ca="1" si="30"/>
        <v/>
      </c>
      <c r="X50" s="132" t="str">
        <f t="shared" ca="1" si="30"/>
        <v/>
      </c>
      <c r="Y50" s="132" t="str">
        <f t="shared" ca="1" si="30"/>
        <v/>
      </c>
      <c r="Z50" s="431" t="str">
        <f t="shared" ca="1" si="30"/>
        <v/>
      </c>
      <c r="AA50" s="132" t="str">
        <f t="shared" ca="1" si="30"/>
        <v/>
      </c>
      <c r="AB50" s="132" t="str">
        <f t="shared" ca="1" si="30"/>
        <v/>
      </c>
      <c r="AC50" s="132">
        <f t="shared" ca="1" si="30"/>
        <v>275000</v>
      </c>
      <c r="AD50" s="132" t="str">
        <f t="shared" ca="1" si="30"/>
        <v/>
      </c>
      <c r="AE50" s="132" t="str">
        <f t="shared" ca="1" si="30"/>
        <v/>
      </c>
      <c r="AF50" s="431" t="str">
        <f t="shared" ca="1" si="30"/>
        <v/>
      </c>
      <c r="AG50" s="132" t="str">
        <f t="shared" ca="1" si="30"/>
        <v/>
      </c>
      <c r="AH50" s="132" t="str">
        <f t="shared" ca="1" si="30"/>
        <v/>
      </c>
      <c r="AI50" s="132" t="str">
        <f t="shared" ca="1" si="30"/>
        <v/>
      </c>
      <c r="AJ50" s="132" t="str">
        <f t="shared" ca="1" si="30"/>
        <v/>
      </c>
      <c r="AK50" s="132" t="str">
        <f t="shared" ca="1" si="30"/>
        <v/>
      </c>
      <c r="AL50" s="431" t="str">
        <f t="shared" ca="1" si="30"/>
        <v/>
      </c>
      <c r="AM50" s="132" t="str">
        <f t="shared" ca="1" si="30"/>
        <v/>
      </c>
      <c r="AN50" s="132" t="str">
        <f t="shared" ca="1" si="30"/>
        <v/>
      </c>
      <c r="AO50" s="132" t="str">
        <f t="shared" ca="1" si="30"/>
        <v/>
      </c>
      <c r="AP50" s="132" t="str">
        <f t="shared" ca="1" si="30"/>
        <v/>
      </c>
      <c r="AQ50" s="132" t="str">
        <f t="shared" ca="1" si="30"/>
        <v/>
      </c>
      <c r="AR50" s="431" t="str">
        <f t="shared" ca="1" si="30"/>
        <v/>
      </c>
      <c r="AS50" s="132" t="str">
        <f t="shared" ca="1" si="30"/>
        <v/>
      </c>
      <c r="AT50" s="132" t="str">
        <f t="shared" ca="1" si="30"/>
        <v/>
      </c>
      <c r="AU50" s="132" t="str">
        <f t="shared" ca="1" si="30"/>
        <v/>
      </c>
      <c r="AV50" s="132" t="str">
        <f t="shared" ca="1" si="30"/>
        <v/>
      </c>
      <c r="AW50" s="132" t="str">
        <f t="shared" ca="1" si="30"/>
        <v/>
      </c>
      <c r="AX50" s="132" t="str">
        <f t="shared" ca="1" si="30"/>
        <v/>
      </c>
      <c r="AY50" s="114"/>
    </row>
    <row r="51" spans="2:51" ht="14.65" customHeight="1">
      <c r="E51" s="102" t="s">
        <v>346</v>
      </c>
      <c r="F51" s="608">
        <v>0.25</v>
      </c>
      <c r="G51" s="28" t="s">
        <v>347</v>
      </c>
      <c r="H51" s="79"/>
      <c r="I51" s="603">
        <v>0</v>
      </c>
      <c r="J51" s="159">
        <f ca="1">I51/$G$38</f>
        <v>0</v>
      </c>
      <c r="K51" s="160"/>
      <c r="L51" s="54" t="s">
        <v>542</v>
      </c>
      <c r="M51" s="163"/>
      <c r="N51" s="189"/>
      <c r="O51" s="189"/>
      <c r="P51" s="190"/>
      <c r="Q51" s="207"/>
      <c r="R51" s="324"/>
      <c r="S51" s="325"/>
      <c r="T51" s="326">
        <v>3</v>
      </c>
      <c r="U51" s="315" t="str">
        <f t="shared" ref="U51:AD56" ca="1" si="31">IFERROR(ROUND(U$50*(1+$S$49)^$T51,-2),"")</f>
        <v/>
      </c>
      <c r="V51" s="315" t="str">
        <f t="shared" ca="1" si="31"/>
        <v/>
      </c>
      <c r="W51" s="315" t="str">
        <f t="shared" ca="1" si="31"/>
        <v/>
      </c>
      <c r="X51" s="315" t="str">
        <f t="shared" ca="1" si="31"/>
        <v/>
      </c>
      <c r="Y51" s="315" t="str">
        <f t="shared" ca="1" si="31"/>
        <v/>
      </c>
      <c r="Z51" s="425" t="str">
        <f t="shared" ca="1" si="31"/>
        <v/>
      </c>
      <c r="AA51" s="315" t="str">
        <f t="shared" ca="1" si="31"/>
        <v/>
      </c>
      <c r="AB51" s="315" t="str">
        <f t="shared" ca="1" si="31"/>
        <v/>
      </c>
      <c r="AC51" s="315">
        <f t="shared" ca="1" si="31"/>
        <v>318300</v>
      </c>
      <c r="AD51" s="315" t="str">
        <f t="shared" ca="1" si="31"/>
        <v/>
      </c>
      <c r="AE51" s="315" t="str">
        <f t="shared" ref="AE51:AN56" ca="1" si="32">IFERROR(ROUND(AE$50*(1+$S$49)^$T51,-2),"")</f>
        <v/>
      </c>
      <c r="AF51" s="425" t="str">
        <f t="shared" ca="1" si="32"/>
        <v/>
      </c>
      <c r="AG51" s="315" t="str">
        <f t="shared" ca="1" si="32"/>
        <v/>
      </c>
      <c r="AH51" s="315" t="str">
        <f t="shared" ca="1" si="32"/>
        <v/>
      </c>
      <c r="AI51" s="315" t="str">
        <f t="shared" ca="1" si="32"/>
        <v/>
      </c>
      <c r="AJ51" s="315" t="str">
        <f t="shared" ca="1" si="32"/>
        <v/>
      </c>
      <c r="AK51" s="315" t="str">
        <f t="shared" ca="1" si="32"/>
        <v/>
      </c>
      <c r="AL51" s="425" t="str">
        <f t="shared" ca="1" si="32"/>
        <v/>
      </c>
      <c r="AM51" s="315" t="str">
        <f t="shared" ca="1" si="32"/>
        <v/>
      </c>
      <c r="AN51" s="315" t="str">
        <f t="shared" ca="1" si="32"/>
        <v/>
      </c>
      <c r="AO51" s="315" t="str">
        <f t="shared" ref="AO51:AX56" ca="1" si="33">IFERROR(ROUND(AO$50*(1+$S$49)^$T51,-2),"")</f>
        <v/>
      </c>
      <c r="AP51" s="315" t="str">
        <f t="shared" ca="1" si="33"/>
        <v/>
      </c>
      <c r="AQ51" s="315" t="str">
        <f t="shared" ca="1" si="33"/>
        <v/>
      </c>
      <c r="AR51" s="425" t="str">
        <f t="shared" ca="1" si="33"/>
        <v/>
      </c>
      <c r="AS51" s="315" t="str">
        <f t="shared" ca="1" si="33"/>
        <v/>
      </c>
      <c r="AT51" s="315" t="str">
        <f t="shared" ca="1" si="33"/>
        <v/>
      </c>
      <c r="AU51" s="315" t="str">
        <f t="shared" ca="1" si="33"/>
        <v/>
      </c>
      <c r="AV51" s="315" t="str">
        <f t="shared" ca="1" si="33"/>
        <v/>
      </c>
      <c r="AW51" s="315" t="str">
        <f t="shared" ca="1" si="33"/>
        <v/>
      </c>
      <c r="AX51" s="315" t="str">
        <f t="shared" ca="1" si="33"/>
        <v/>
      </c>
      <c r="AY51" s="114"/>
    </row>
    <row r="52" spans="2:51" ht="14.65" customHeight="1">
      <c r="E52" s="102" t="s">
        <v>349</v>
      </c>
      <c r="F52" s="609" t="s">
        <v>530</v>
      </c>
      <c r="G52" s="28" t="s">
        <v>350</v>
      </c>
      <c r="H52" s="79"/>
      <c r="I52" s="109">
        <f>IF(F52="yes",SUM(I49:I51)*F51,0)</f>
        <v>0</v>
      </c>
      <c r="J52" s="159">
        <f ca="1">I52/$G$38</f>
        <v>0</v>
      </c>
      <c r="K52" s="160"/>
      <c r="L52" s="11" t="s">
        <v>222</v>
      </c>
      <c r="M52" s="24">
        <f ca="1">IF(ISBLANK(OFFSET(M52,0,$P$41)),$N52,OFFSET(M52,0,$P$41))</f>
        <v>50000</v>
      </c>
      <c r="N52" s="609">
        <v>50000</v>
      </c>
      <c r="O52" s="609"/>
      <c r="P52" s="628"/>
      <c r="Q52" s="34"/>
      <c r="R52" s="282"/>
      <c r="S52"/>
      <c r="T52" s="326">
        <v>5</v>
      </c>
      <c r="U52" s="315" t="str">
        <f t="shared" ca="1" si="31"/>
        <v/>
      </c>
      <c r="V52" s="315" t="str">
        <f t="shared" ca="1" si="31"/>
        <v/>
      </c>
      <c r="W52" s="315" t="str">
        <f t="shared" ca="1" si="31"/>
        <v/>
      </c>
      <c r="X52" s="315" t="str">
        <f t="shared" ca="1" si="31"/>
        <v/>
      </c>
      <c r="Y52" s="315" t="str">
        <f t="shared" ca="1" si="31"/>
        <v/>
      </c>
      <c r="Z52" s="425" t="str">
        <f t="shared" ca="1" si="31"/>
        <v/>
      </c>
      <c r="AA52" s="315" t="str">
        <f t="shared" ca="1" si="31"/>
        <v/>
      </c>
      <c r="AB52" s="315" t="str">
        <f t="shared" ca="1" si="31"/>
        <v/>
      </c>
      <c r="AC52" s="315">
        <f t="shared" ca="1" si="31"/>
        <v>351000</v>
      </c>
      <c r="AD52" s="315" t="str">
        <f t="shared" ca="1" si="31"/>
        <v/>
      </c>
      <c r="AE52" s="315" t="str">
        <f t="shared" ca="1" si="32"/>
        <v/>
      </c>
      <c r="AF52" s="425" t="str">
        <f t="shared" ca="1" si="32"/>
        <v/>
      </c>
      <c r="AG52" s="315" t="str">
        <f t="shared" ca="1" si="32"/>
        <v/>
      </c>
      <c r="AH52" s="315" t="str">
        <f t="shared" ca="1" si="32"/>
        <v/>
      </c>
      <c r="AI52" s="315" t="str">
        <f t="shared" ca="1" si="32"/>
        <v/>
      </c>
      <c r="AJ52" s="315" t="str">
        <f t="shared" ca="1" si="32"/>
        <v/>
      </c>
      <c r="AK52" s="315" t="str">
        <f t="shared" ca="1" si="32"/>
        <v/>
      </c>
      <c r="AL52" s="425" t="str">
        <f t="shared" ca="1" si="32"/>
        <v/>
      </c>
      <c r="AM52" s="315" t="str">
        <f t="shared" ca="1" si="32"/>
        <v/>
      </c>
      <c r="AN52" s="315" t="str">
        <f t="shared" ca="1" si="32"/>
        <v/>
      </c>
      <c r="AO52" s="315" t="str">
        <f t="shared" ca="1" si="33"/>
        <v/>
      </c>
      <c r="AP52" s="315" t="str">
        <f t="shared" ca="1" si="33"/>
        <v/>
      </c>
      <c r="AQ52" s="315" t="str">
        <f t="shared" ca="1" si="33"/>
        <v/>
      </c>
      <c r="AR52" s="425" t="str">
        <f t="shared" ca="1" si="33"/>
        <v/>
      </c>
      <c r="AS52" s="315" t="str">
        <f t="shared" ca="1" si="33"/>
        <v/>
      </c>
      <c r="AT52" s="315" t="str">
        <f t="shared" ca="1" si="33"/>
        <v/>
      </c>
      <c r="AU52" s="315" t="str">
        <f t="shared" ca="1" si="33"/>
        <v/>
      </c>
      <c r="AV52" s="315" t="str">
        <f t="shared" ca="1" si="33"/>
        <v/>
      </c>
      <c r="AW52" s="315" t="str">
        <f t="shared" ca="1" si="33"/>
        <v/>
      </c>
      <c r="AX52" s="315" t="str">
        <f t="shared" ca="1" si="33"/>
        <v/>
      </c>
      <c r="AY52" s="114"/>
    </row>
    <row r="53" spans="2:51" ht="14.65" customHeight="1">
      <c r="E53" s="102" t="s">
        <v>354</v>
      </c>
      <c r="F53" s="655">
        <v>0.17</v>
      </c>
      <c r="G53" s="208" t="s">
        <v>355</v>
      </c>
      <c r="H53" s="209"/>
      <c r="I53" s="210">
        <f ca="1">SUM(I49:I52)*F53</f>
        <v>9355.1</v>
      </c>
      <c r="J53" s="211">
        <f ca="1">I53/$G$38</f>
        <v>9355.1</v>
      </c>
      <c r="K53" s="160"/>
      <c r="L53" s="12" t="s">
        <v>280</v>
      </c>
      <c r="M53" s="23">
        <f ca="1">IF(ISBLANK(OFFSET(M53,0,$P$41)),$N53,OFFSET(M53,0,$P$41))</f>
        <v>3.5000000000000003E-2</v>
      </c>
      <c r="N53" s="619">
        <v>3.5000000000000003E-2</v>
      </c>
      <c r="O53" s="619"/>
      <c r="P53" s="630"/>
      <c r="Q53" s="151"/>
      <c r="R53" s="282"/>
      <c r="S53"/>
      <c r="T53" s="326">
        <v>7</v>
      </c>
      <c r="U53" s="315" t="str">
        <f t="shared" ca="1" si="31"/>
        <v/>
      </c>
      <c r="V53" s="315" t="str">
        <f t="shared" ca="1" si="31"/>
        <v/>
      </c>
      <c r="W53" s="315" t="str">
        <f t="shared" ca="1" si="31"/>
        <v/>
      </c>
      <c r="X53" s="315" t="str">
        <f t="shared" ca="1" si="31"/>
        <v/>
      </c>
      <c r="Y53" s="315" t="str">
        <f t="shared" ca="1" si="31"/>
        <v/>
      </c>
      <c r="Z53" s="425" t="str">
        <f t="shared" ca="1" si="31"/>
        <v/>
      </c>
      <c r="AA53" s="315" t="str">
        <f t="shared" ca="1" si="31"/>
        <v/>
      </c>
      <c r="AB53" s="315" t="str">
        <f t="shared" ca="1" si="31"/>
        <v/>
      </c>
      <c r="AC53" s="315">
        <f t="shared" ca="1" si="31"/>
        <v>387000</v>
      </c>
      <c r="AD53" s="315" t="str">
        <f t="shared" ca="1" si="31"/>
        <v/>
      </c>
      <c r="AE53" s="315" t="str">
        <f t="shared" ca="1" si="32"/>
        <v/>
      </c>
      <c r="AF53" s="425" t="str">
        <f t="shared" ca="1" si="32"/>
        <v/>
      </c>
      <c r="AG53" s="315" t="str">
        <f t="shared" ca="1" si="32"/>
        <v/>
      </c>
      <c r="AH53" s="315" t="str">
        <f t="shared" ca="1" si="32"/>
        <v/>
      </c>
      <c r="AI53" s="315" t="str">
        <f t="shared" ca="1" si="32"/>
        <v/>
      </c>
      <c r="AJ53" s="315" t="str">
        <f t="shared" ca="1" si="32"/>
        <v/>
      </c>
      <c r="AK53" s="315" t="str">
        <f t="shared" ca="1" si="32"/>
        <v/>
      </c>
      <c r="AL53" s="425" t="str">
        <f t="shared" ca="1" si="32"/>
        <v/>
      </c>
      <c r="AM53" s="315" t="str">
        <f t="shared" ca="1" si="32"/>
        <v/>
      </c>
      <c r="AN53" s="315" t="str">
        <f t="shared" ca="1" si="32"/>
        <v/>
      </c>
      <c r="AO53" s="315" t="str">
        <f t="shared" ca="1" si="33"/>
        <v/>
      </c>
      <c r="AP53" s="315" t="str">
        <f t="shared" ca="1" si="33"/>
        <v/>
      </c>
      <c r="AQ53" s="315" t="str">
        <f t="shared" ca="1" si="33"/>
        <v/>
      </c>
      <c r="AR53" s="425" t="str">
        <f t="shared" ca="1" si="33"/>
        <v/>
      </c>
      <c r="AS53" s="315" t="str">
        <f t="shared" ca="1" si="33"/>
        <v/>
      </c>
      <c r="AT53" s="315" t="str">
        <f t="shared" ca="1" si="33"/>
        <v/>
      </c>
      <c r="AU53" s="315" t="str">
        <f t="shared" ca="1" si="33"/>
        <v/>
      </c>
      <c r="AV53" s="315" t="str">
        <f t="shared" ca="1" si="33"/>
        <v/>
      </c>
      <c r="AW53" s="315" t="str">
        <f t="shared" ca="1" si="33"/>
        <v/>
      </c>
      <c r="AX53" s="315" t="str">
        <f t="shared" ca="1" si="33"/>
        <v/>
      </c>
      <c r="AY53" s="114"/>
    </row>
    <row r="54" spans="2:51" ht="32.65" customHeight="1">
      <c r="G54" s="54" t="s">
        <v>357</v>
      </c>
      <c r="H54" s="305"/>
      <c r="I54" s="306">
        <f ca="1">SUM(I49:I53)</f>
        <v>64385.1</v>
      </c>
      <c r="J54" s="307">
        <f ca="1">SUM(J49:J53)</f>
        <v>64385.1</v>
      </c>
      <c r="K54" s="177"/>
      <c r="L54" s="12" t="s">
        <v>332</v>
      </c>
      <c r="M54" s="59">
        <f ca="1">IF(ISBLANK(OFFSET(M54,0,$P$41)),$N54,OFFSET(M54,0,$P$41))</f>
        <v>3</v>
      </c>
      <c r="N54" s="621">
        <v>3</v>
      </c>
      <c r="O54" s="622"/>
      <c r="P54" s="623"/>
      <c r="Q54" s="151"/>
      <c r="R54" s="282"/>
      <c r="S54"/>
      <c r="T54" s="326">
        <v>10</v>
      </c>
      <c r="U54" s="315" t="str">
        <f t="shared" ca="1" si="31"/>
        <v/>
      </c>
      <c r="V54" s="315" t="str">
        <f t="shared" ca="1" si="31"/>
        <v/>
      </c>
      <c r="W54" s="315" t="str">
        <f t="shared" ca="1" si="31"/>
        <v/>
      </c>
      <c r="X54" s="315" t="str">
        <f t="shared" ca="1" si="31"/>
        <v/>
      </c>
      <c r="Y54" s="315" t="str">
        <f t="shared" ca="1" si="31"/>
        <v/>
      </c>
      <c r="Z54" s="425" t="str">
        <f t="shared" ca="1" si="31"/>
        <v/>
      </c>
      <c r="AA54" s="315" t="str">
        <f t="shared" ca="1" si="31"/>
        <v/>
      </c>
      <c r="AB54" s="315" t="str">
        <f t="shared" ca="1" si="31"/>
        <v/>
      </c>
      <c r="AC54" s="315">
        <f t="shared" ca="1" si="31"/>
        <v>447900</v>
      </c>
      <c r="AD54" s="315" t="str">
        <f t="shared" ca="1" si="31"/>
        <v/>
      </c>
      <c r="AE54" s="315" t="str">
        <f t="shared" ca="1" si="32"/>
        <v/>
      </c>
      <c r="AF54" s="425" t="str">
        <f t="shared" ca="1" si="32"/>
        <v/>
      </c>
      <c r="AG54" s="315" t="str">
        <f t="shared" ca="1" si="32"/>
        <v/>
      </c>
      <c r="AH54" s="315" t="str">
        <f t="shared" ca="1" si="32"/>
        <v/>
      </c>
      <c r="AI54" s="315" t="str">
        <f t="shared" ca="1" si="32"/>
        <v/>
      </c>
      <c r="AJ54" s="315" t="str">
        <f t="shared" ca="1" si="32"/>
        <v/>
      </c>
      <c r="AK54" s="315" t="str">
        <f t="shared" ca="1" si="32"/>
        <v/>
      </c>
      <c r="AL54" s="425" t="str">
        <f t="shared" ca="1" si="32"/>
        <v/>
      </c>
      <c r="AM54" s="315" t="str">
        <f t="shared" ca="1" si="32"/>
        <v/>
      </c>
      <c r="AN54" s="315" t="str">
        <f t="shared" ca="1" si="32"/>
        <v/>
      </c>
      <c r="AO54" s="315" t="str">
        <f t="shared" ca="1" si="33"/>
        <v/>
      </c>
      <c r="AP54" s="315" t="str">
        <f t="shared" ca="1" si="33"/>
        <v/>
      </c>
      <c r="AQ54" s="315" t="str">
        <f t="shared" ca="1" si="33"/>
        <v/>
      </c>
      <c r="AR54" s="425" t="str">
        <f t="shared" ca="1" si="33"/>
        <v/>
      </c>
      <c r="AS54" s="315" t="str">
        <f t="shared" ca="1" si="33"/>
        <v/>
      </c>
      <c r="AT54" s="315" t="str">
        <f t="shared" ca="1" si="33"/>
        <v/>
      </c>
      <c r="AU54" s="315" t="str">
        <f t="shared" ca="1" si="33"/>
        <v/>
      </c>
      <c r="AV54" s="315" t="str">
        <f t="shared" ca="1" si="33"/>
        <v/>
      </c>
      <c r="AW54" s="315" t="str">
        <f t="shared" ca="1" si="33"/>
        <v/>
      </c>
      <c r="AX54" s="315" t="str">
        <f t="shared" ca="1" si="33"/>
        <v/>
      </c>
      <c r="AY54" s="114"/>
    </row>
    <row r="55" spans="2:51" ht="15" thickBot="1">
      <c r="C55" s="402"/>
      <c r="G55" s="28"/>
      <c r="H55" s="79"/>
      <c r="I55" s="179"/>
      <c r="J55" s="159"/>
      <c r="K55" s="160"/>
      <c r="L55" s="396" t="s">
        <v>284</v>
      </c>
      <c r="M55" s="388">
        <f ca="1">IF(ISBLANK(OFFSET(M55,0,$P$41)),$N55,OFFSET(M55,0,$P$41))</f>
        <v>1.4999999999999999E-2</v>
      </c>
      <c r="N55" s="625">
        <v>1.4999999999999999E-2</v>
      </c>
      <c r="O55" s="625"/>
      <c r="P55" s="632"/>
      <c r="Q55" s="151"/>
      <c r="R55" s="282"/>
      <c r="S55"/>
      <c r="T55" s="326">
        <v>15</v>
      </c>
      <c r="U55" s="315" t="str">
        <f t="shared" ca="1" si="31"/>
        <v/>
      </c>
      <c r="V55" s="315" t="str">
        <f t="shared" ca="1" si="31"/>
        <v/>
      </c>
      <c r="W55" s="315" t="str">
        <f t="shared" ca="1" si="31"/>
        <v/>
      </c>
      <c r="X55" s="315" t="str">
        <f t="shared" ca="1" si="31"/>
        <v/>
      </c>
      <c r="Y55" s="315" t="str">
        <f t="shared" ca="1" si="31"/>
        <v/>
      </c>
      <c r="Z55" s="425" t="str">
        <f t="shared" ca="1" si="31"/>
        <v/>
      </c>
      <c r="AA55" s="315" t="str">
        <f t="shared" ca="1" si="31"/>
        <v/>
      </c>
      <c r="AB55" s="315" t="str">
        <f t="shared" ca="1" si="31"/>
        <v/>
      </c>
      <c r="AC55" s="315">
        <f t="shared" ca="1" si="31"/>
        <v>571700</v>
      </c>
      <c r="AD55" s="315" t="str">
        <f t="shared" ca="1" si="31"/>
        <v/>
      </c>
      <c r="AE55" s="315" t="str">
        <f t="shared" ca="1" si="32"/>
        <v/>
      </c>
      <c r="AF55" s="425" t="str">
        <f t="shared" ca="1" si="32"/>
        <v/>
      </c>
      <c r="AG55" s="315" t="str">
        <f t="shared" ca="1" si="32"/>
        <v/>
      </c>
      <c r="AH55" s="315" t="str">
        <f t="shared" ca="1" si="32"/>
        <v/>
      </c>
      <c r="AI55" s="315" t="str">
        <f t="shared" ca="1" si="32"/>
        <v/>
      </c>
      <c r="AJ55" s="315" t="str">
        <f t="shared" ca="1" si="32"/>
        <v/>
      </c>
      <c r="AK55" s="315" t="str">
        <f t="shared" ca="1" si="32"/>
        <v/>
      </c>
      <c r="AL55" s="425" t="str">
        <f t="shared" ca="1" si="32"/>
        <v/>
      </c>
      <c r="AM55" s="315" t="str">
        <f t="shared" ca="1" si="32"/>
        <v/>
      </c>
      <c r="AN55" s="315" t="str">
        <f t="shared" ca="1" si="32"/>
        <v/>
      </c>
      <c r="AO55" s="315" t="str">
        <f t="shared" ca="1" si="33"/>
        <v/>
      </c>
      <c r="AP55" s="315" t="str">
        <f t="shared" ca="1" si="33"/>
        <v/>
      </c>
      <c r="AQ55" s="315" t="str">
        <f t="shared" ca="1" si="33"/>
        <v/>
      </c>
      <c r="AR55" s="425" t="str">
        <f t="shared" ca="1" si="33"/>
        <v/>
      </c>
      <c r="AS55" s="315" t="str">
        <f t="shared" ca="1" si="33"/>
        <v/>
      </c>
      <c r="AT55" s="315" t="str">
        <f t="shared" ca="1" si="33"/>
        <v/>
      </c>
      <c r="AU55" s="315" t="str">
        <f t="shared" ca="1" si="33"/>
        <v/>
      </c>
      <c r="AV55" s="315" t="str">
        <f t="shared" ca="1" si="33"/>
        <v/>
      </c>
      <c r="AW55" s="315" t="str">
        <f t="shared" ca="1" si="33"/>
        <v/>
      </c>
      <c r="AX55" s="315" t="str">
        <f t="shared" ca="1" si="33"/>
        <v/>
      </c>
      <c r="AY55" s="114"/>
    </row>
    <row r="56" spans="2:51" ht="14.45">
      <c r="G56" s="181" t="s">
        <v>238</v>
      </c>
      <c r="H56" s="176"/>
      <c r="I56" s="179"/>
      <c r="J56" s="159"/>
      <c r="K56" s="160"/>
      <c r="L56" s="28"/>
      <c r="M56" s="382"/>
      <c r="N56" s="49"/>
      <c r="O56" s="49"/>
      <c r="P56" s="395"/>
      <c r="Q56" s="151"/>
      <c r="R56" s="282"/>
      <c r="S56"/>
      <c r="T56" s="326">
        <v>20</v>
      </c>
      <c r="U56" s="315" t="str">
        <f t="shared" ca="1" si="31"/>
        <v/>
      </c>
      <c r="V56" s="315" t="str">
        <f t="shared" ca="1" si="31"/>
        <v/>
      </c>
      <c r="W56" s="315" t="str">
        <f t="shared" ca="1" si="31"/>
        <v/>
      </c>
      <c r="X56" s="315" t="str">
        <f t="shared" ca="1" si="31"/>
        <v/>
      </c>
      <c r="Y56" s="315" t="str">
        <f t="shared" ca="1" si="31"/>
        <v/>
      </c>
      <c r="Z56" s="425" t="str">
        <f t="shared" ca="1" si="31"/>
        <v/>
      </c>
      <c r="AA56" s="315" t="str">
        <f t="shared" ca="1" si="31"/>
        <v/>
      </c>
      <c r="AB56" s="315" t="str">
        <f t="shared" ca="1" si="31"/>
        <v/>
      </c>
      <c r="AC56" s="315">
        <f t="shared" ca="1" si="31"/>
        <v>729700</v>
      </c>
      <c r="AD56" s="315" t="str">
        <f t="shared" ca="1" si="31"/>
        <v/>
      </c>
      <c r="AE56" s="315" t="str">
        <f t="shared" ca="1" si="32"/>
        <v/>
      </c>
      <c r="AF56" s="425" t="str">
        <f t="shared" ca="1" si="32"/>
        <v/>
      </c>
      <c r="AG56" s="315" t="str">
        <f t="shared" ca="1" si="32"/>
        <v/>
      </c>
      <c r="AH56" s="315" t="str">
        <f t="shared" ca="1" si="32"/>
        <v/>
      </c>
      <c r="AI56" s="315" t="str">
        <f t="shared" ca="1" si="32"/>
        <v/>
      </c>
      <c r="AJ56" s="315" t="str">
        <f t="shared" ca="1" si="32"/>
        <v/>
      </c>
      <c r="AK56" s="315" t="str">
        <f t="shared" ca="1" si="32"/>
        <v/>
      </c>
      <c r="AL56" s="425" t="str">
        <f t="shared" ca="1" si="32"/>
        <v/>
      </c>
      <c r="AM56" s="315" t="str">
        <f t="shared" ca="1" si="32"/>
        <v/>
      </c>
      <c r="AN56" s="315" t="str">
        <f t="shared" ca="1" si="32"/>
        <v/>
      </c>
      <c r="AO56" s="315" t="str">
        <f t="shared" ca="1" si="33"/>
        <v/>
      </c>
      <c r="AP56" s="315" t="str">
        <f t="shared" ca="1" si="33"/>
        <v/>
      </c>
      <c r="AQ56" s="315" t="str">
        <f t="shared" ca="1" si="33"/>
        <v/>
      </c>
      <c r="AR56" s="425" t="str">
        <f t="shared" ca="1" si="33"/>
        <v/>
      </c>
      <c r="AS56" s="315" t="str">
        <f t="shared" ca="1" si="33"/>
        <v/>
      </c>
      <c r="AT56" s="315" t="str">
        <f t="shared" ca="1" si="33"/>
        <v/>
      </c>
      <c r="AU56" s="315" t="str">
        <f t="shared" ca="1" si="33"/>
        <v/>
      </c>
      <c r="AV56" s="315" t="str">
        <f t="shared" ca="1" si="33"/>
        <v/>
      </c>
      <c r="AW56" s="315" t="str">
        <f t="shared" ca="1" si="33"/>
        <v/>
      </c>
      <c r="AX56" s="315" t="str">
        <f t="shared" ca="1" si="33"/>
        <v/>
      </c>
      <c r="AY56" s="114"/>
    </row>
    <row r="57" spans="2:51" ht="14.45">
      <c r="G57" s="28" t="s">
        <v>360</v>
      </c>
      <c r="H57" s="176"/>
      <c r="I57" s="179"/>
      <c r="J57" s="159"/>
      <c r="K57" s="160"/>
      <c r="L57" s="396" t="s">
        <v>426</v>
      </c>
      <c r="M57" s="383">
        <f ca="1">(C21+M52)/I86</f>
        <v>0.81449760223125411</v>
      </c>
      <c r="N57" s="384"/>
      <c r="O57" s="384"/>
      <c r="P57" s="385"/>
      <c r="Q57" s="151"/>
      <c r="R57" s="282"/>
      <c r="S57"/>
      <c r="T57" s="255"/>
      <c r="U57" s="312"/>
      <c r="V57" s="312"/>
      <c r="W57" s="312"/>
      <c r="X57" s="312"/>
      <c r="Y57" s="312"/>
      <c r="Z57" s="432"/>
      <c r="AA57" s="312"/>
      <c r="AB57" s="312"/>
      <c r="AC57" s="312"/>
      <c r="AD57" s="312"/>
      <c r="AE57" s="312"/>
      <c r="AF57" s="432"/>
      <c r="AG57" s="312"/>
      <c r="AH57" s="312"/>
      <c r="AI57" s="312"/>
      <c r="AJ57" s="312"/>
      <c r="AK57" s="312"/>
      <c r="AL57" s="432"/>
      <c r="AM57" s="312"/>
      <c r="AN57" s="312"/>
      <c r="AO57" s="312"/>
      <c r="AP57" s="312"/>
      <c r="AQ57" s="312"/>
      <c r="AR57" s="432"/>
      <c r="AS57" s="312"/>
      <c r="AT57" s="312"/>
      <c r="AU57" s="312"/>
      <c r="AV57" s="312"/>
      <c r="AW57" s="312"/>
      <c r="AX57" s="312"/>
      <c r="AY57" s="114"/>
    </row>
    <row r="58" spans="2:51" ht="14.45">
      <c r="G58" s="437" t="s">
        <v>363</v>
      </c>
      <c r="H58" s="79"/>
      <c r="I58" s="603">
        <v>2000</v>
      </c>
      <c r="J58" s="159">
        <f ca="1">I58/$G$38</f>
        <v>2000</v>
      </c>
      <c r="K58" s="160"/>
      <c r="L58" s="175"/>
      <c r="M58" s="176"/>
      <c r="N58" s="182"/>
      <c r="O58" s="182"/>
      <c r="P58" s="25"/>
      <c r="Q58" s="10"/>
      <c r="R58" s="273"/>
      <c r="S58"/>
      <c r="T58" s="270"/>
      <c r="Z58" s="429"/>
      <c r="AF58" s="429"/>
      <c r="AL58" s="429"/>
      <c r="AR58" s="429"/>
      <c r="AY58" s="114"/>
    </row>
    <row r="59" spans="2:51" ht="14.65" customHeight="1" thickBot="1">
      <c r="G59" s="437" t="s">
        <v>366</v>
      </c>
      <c r="H59" s="79"/>
      <c r="I59" s="603">
        <v>15000</v>
      </c>
      <c r="J59" s="159">
        <f ca="1">I59/$G$38</f>
        <v>15000</v>
      </c>
      <c r="K59" s="160"/>
      <c r="L59" s="91"/>
      <c r="M59" s="205"/>
      <c r="N59" s="55"/>
      <c r="O59" s="55"/>
      <c r="P59" s="206"/>
      <c r="Q59" s="10"/>
      <c r="R59" s="360"/>
      <c r="S59" s="364" t="s">
        <v>531</v>
      </c>
      <c r="T59" s="361"/>
      <c r="U59" s="363"/>
      <c r="V59" s="363"/>
      <c r="W59" s="363"/>
      <c r="X59" s="363"/>
      <c r="Y59" s="363"/>
      <c r="Z59" s="433"/>
      <c r="AA59" s="363"/>
      <c r="AB59" s="363"/>
      <c r="AC59" s="363"/>
      <c r="AD59" s="363"/>
      <c r="AE59" s="363"/>
      <c r="AF59" s="433"/>
      <c r="AG59" s="363"/>
      <c r="AH59" s="363"/>
      <c r="AI59" s="363"/>
      <c r="AJ59" s="363"/>
      <c r="AK59" s="363"/>
      <c r="AL59" s="433"/>
      <c r="AM59" s="363"/>
      <c r="AN59" s="363"/>
      <c r="AO59" s="363"/>
      <c r="AP59" s="363"/>
      <c r="AQ59" s="363"/>
      <c r="AR59" s="433"/>
      <c r="AS59" s="363"/>
      <c r="AT59" s="363"/>
      <c r="AU59" s="363"/>
      <c r="AV59" s="363"/>
      <c r="AW59" s="363"/>
      <c r="AX59" s="363"/>
      <c r="AY59" s="362"/>
    </row>
    <row r="60" spans="2:51" ht="22.15" customHeight="1">
      <c r="G60" s="437" t="s">
        <v>369</v>
      </c>
      <c r="H60" s="79"/>
      <c r="I60" s="605">
        <v>0</v>
      </c>
      <c r="J60" s="304">
        <f ca="1">I60/$G$38</f>
        <v>0</v>
      </c>
      <c r="K60" s="160"/>
      <c r="L60" s="54" t="s">
        <v>428</v>
      </c>
      <c r="M60" s="163"/>
      <c r="N60" s="189"/>
      <c r="O60" s="189"/>
      <c r="P60" s="190"/>
      <c r="Q60" s="10"/>
      <c r="R60" s="282"/>
      <c r="S60"/>
      <c r="T60" s="321" t="s">
        <v>532</v>
      </c>
      <c r="Z60" s="429"/>
      <c r="AF60" s="429"/>
      <c r="AL60" s="429"/>
      <c r="AR60" s="429"/>
      <c r="AY60" s="114"/>
    </row>
    <row r="61" spans="2:51" ht="14.65" customHeight="1">
      <c r="G61" s="437"/>
      <c r="H61" s="79"/>
      <c r="I61" s="179"/>
      <c r="J61" s="159"/>
      <c r="K61" s="177"/>
      <c r="L61" s="84" t="s">
        <v>429</v>
      </c>
      <c r="M61" s="24">
        <f ca="1">IF(ISBLANK(OFFSET(M61,0,$P$41)),$N61,OFFSET(M61,0,$P$41))</f>
        <v>0</v>
      </c>
      <c r="N61" s="636">
        <v>0</v>
      </c>
      <c r="O61" s="609"/>
      <c r="P61" s="637"/>
      <c r="Q61" s="221"/>
      <c r="R61" s="282"/>
      <c r="S61" s="688">
        <v>0.02</v>
      </c>
      <c r="T61" s="323" t="s">
        <v>529</v>
      </c>
      <c r="U61" s="85" t="str">
        <f t="shared" ref="U61:AX61" ca="1" si="34">U25</f>
        <v/>
      </c>
      <c r="V61" s="85" t="str">
        <f t="shared" ca="1" si="34"/>
        <v/>
      </c>
      <c r="W61" s="85" t="str">
        <f t="shared" ca="1" si="34"/>
        <v/>
      </c>
      <c r="X61" s="85" t="str">
        <f t="shared" ca="1" si="34"/>
        <v/>
      </c>
      <c r="Y61" s="85" t="str">
        <f t="shared" ca="1" si="34"/>
        <v/>
      </c>
      <c r="Z61" s="434" t="str">
        <f t="shared" ca="1" si="34"/>
        <v/>
      </c>
      <c r="AA61" s="85" t="str">
        <f t="shared" ca="1" si="34"/>
        <v/>
      </c>
      <c r="AB61" s="85" t="str">
        <f t="shared" ca="1" si="34"/>
        <v/>
      </c>
      <c r="AC61" s="85">
        <f t="shared" ca="1" si="34"/>
        <v>358697.78274057916</v>
      </c>
      <c r="AD61" s="85" t="str">
        <f t="shared" ca="1" si="34"/>
        <v/>
      </c>
      <c r="AE61" s="85" t="str">
        <f t="shared" ca="1" si="34"/>
        <v/>
      </c>
      <c r="AF61" s="434" t="str">
        <f t="shared" ca="1" si="34"/>
        <v/>
      </c>
      <c r="AG61" s="85" t="str">
        <f t="shared" ca="1" si="34"/>
        <v/>
      </c>
      <c r="AH61" s="85" t="str">
        <f t="shared" ca="1" si="34"/>
        <v/>
      </c>
      <c r="AI61" s="85" t="str">
        <f t="shared" ca="1" si="34"/>
        <v/>
      </c>
      <c r="AJ61" s="85" t="str">
        <f t="shared" ca="1" si="34"/>
        <v/>
      </c>
      <c r="AK61" s="85" t="str">
        <f t="shared" ca="1" si="34"/>
        <v/>
      </c>
      <c r="AL61" s="434" t="str">
        <f t="shared" ca="1" si="34"/>
        <v/>
      </c>
      <c r="AM61" s="85" t="str">
        <f t="shared" ca="1" si="34"/>
        <v/>
      </c>
      <c r="AN61" s="85" t="str">
        <f t="shared" ca="1" si="34"/>
        <v/>
      </c>
      <c r="AO61" s="85" t="str">
        <f t="shared" ca="1" si="34"/>
        <v/>
      </c>
      <c r="AP61" s="85" t="str">
        <f t="shared" ca="1" si="34"/>
        <v/>
      </c>
      <c r="AQ61" s="85" t="str">
        <f t="shared" ca="1" si="34"/>
        <v/>
      </c>
      <c r="AR61" s="434" t="str">
        <f t="shared" ca="1" si="34"/>
        <v/>
      </c>
      <c r="AS61" s="85" t="str">
        <f t="shared" ca="1" si="34"/>
        <v/>
      </c>
      <c r="AT61" s="85" t="str">
        <f t="shared" ca="1" si="34"/>
        <v/>
      </c>
      <c r="AU61" s="85" t="str">
        <f t="shared" ca="1" si="34"/>
        <v/>
      </c>
      <c r="AV61" s="85" t="str">
        <f t="shared" ca="1" si="34"/>
        <v/>
      </c>
      <c r="AW61" s="85" t="str">
        <f t="shared" ca="1" si="34"/>
        <v/>
      </c>
      <c r="AX61" s="85" t="str">
        <f t="shared" ca="1" si="34"/>
        <v/>
      </c>
      <c r="AY61" s="114"/>
    </row>
    <row r="62" spans="2:51" ht="15.6">
      <c r="E62" s="102"/>
      <c r="F62" s="281"/>
      <c r="G62" s="28" t="s">
        <v>373</v>
      </c>
      <c r="H62" s="79"/>
      <c r="I62" s="439"/>
      <c r="J62" s="159"/>
      <c r="K62" s="160"/>
      <c r="L62" s="84" t="s">
        <v>430</v>
      </c>
      <c r="M62" s="22">
        <f ca="1">IF(ISBLANK(OFFSET(M62,0,$P$41)),$N62,OFFSET(M62,0,$P$41))</f>
        <v>0</v>
      </c>
      <c r="N62" s="638">
        <v>0</v>
      </c>
      <c r="O62" s="608"/>
      <c r="P62" s="639"/>
      <c r="Q62" s="221"/>
      <c r="R62" s="282"/>
      <c r="S62"/>
      <c r="T62" s="326">
        <v>3</v>
      </c>
      <c r="U62" s="132" t="str">
        <f t="shared" ref="U62:AD67" ca="1" si="35">IFERROR(ROUND(U$61*(1+$S$61)^$T62,-2),"")</f>
        <v/>
      </c>
      <c r="V62" s="132" t="str">
        <f t="shared" ca="1" si="35"/>
        <v/>
      </c>
      <c r="W62" s="132" t="str">
        <f t="shared" ca="1" si="35"/>
        <v/>
      </c>
      <c r="X62" s="132" t="str">
        <f t="shared" ca="1" si="35"/>
        <v/>
      </c>
      <c r="Y62" s="132" t="str">
        <f t="shared" ca="1" si="35"/>
        <v/>
      </c>
      <c r="Z62" s="431" t="str">
        <f t="shared" ca="1" si="35"/>
        <v/>
      </c>
      <c r="AA62" s="132" t="str">
        <f t="shared" ca="1" si="35"/>
        <v/>
      </c>
      <c r="AB62" s="132" t="str">
        <f t="shared" ca="1" si="35"/>
        <v/>
      </c>
      <c r="AC62" s="132">
        <f t="shared" ca="1" si="35"/>
        <v>380700</v>
      </c>
      <c r="AD62" s="132" t="str">
        <f t="shared" ca="1" si="35"/>
        <v/>
      </c>
      <c r="AE62" s="132" t="str">
        <f t="shared" ref="AE62:AN67" ca="1" si="36">IFERROR(ROUND(AE$61*(1+$S$61)^$T62,-2),"")</f>
        <v/>
      </c>
      <c r="AF62" s="431" t="str">
        <f t="shared" ca="1" si="36"/>
        <v/>
      </c>
      <c r="AG62" s="132" t="str">
        <f t="shared" ca="1" si="36"/>
        <v/>
      </c>
      <c r="AH62" s="132" t="str">
        <f t="shared" ca="1" si="36"/>
        <v/>
      </c>
      <c r="AI62" s="132" t="str">
        <f t="shared" ca="1" si="36"/>
        <v/>
      </c>
      <c r="AJ62" s="132" t="str">
        <f t="shared" ca="1" si="36"/>
        <v/>
      </c>
      <c r="AK62" s="132" t="str">
        <f t="shared" ca="1" si="36"/>
        <v/>
      </c>
      <c r="AL62" s="431" t="str">
        <f t="shared" ca="1" si="36"/>
        <v/>
      </c>
      <c r="AM62" s="132" t="str">
        <f t="shared" ca="1" si="36"/>
        <v/>
      </c>
      <c r="AN62" s="132" t="str">
        <f t="shared" ca="1" si="36"/>
        <v/>
      </c>
      <c r="AO62" s="132" t="str">
        <f t="shared" ref="AO62:AX67" ca="1" si="37">IFERROR(ROUND(AO$61*(1+$S$61)^$T62,-2),"")</f>
        <v/>
      </c>
      <c r="AP62" s="132" t="str">
        <f t="shared" ca="1" si="37"/>
        <v/>
      </c>
      <c r="AQ62" s="132" t="str">
        <f t="shared" ca="1" si="37"/>
        <v/>
      </c>
      <c r="AR62" s="431" t="str">
        <f t="shared" ca="1" si="37"/>
        <v/>
      </c>
      <c r="AS62" s="132" t="str">
        <f t="shared" ca="1" si="37"/>
        <v/>
      </c>
      <c r="AT62" s="132" t="str">
        <f t="shared" ca="1" si="37"/>
        <v/>
      </c>
      <c r="AU62" s="132" t="str">
        <f t="shared" ca="1" si="37"/>
        <v/>
      </c>
      <c r="AV62" s="132" t="str">
        <f t="shared" ca="1" si="37"/>
        <v/>
      </c>
      <c r="AW62" s="132" t="str">
        <f t="shared" ca="1" si="37"/>
        <v/>
      </c>
      <c r="AX62" s="132" t="str">
        <f t="shared" ca="1" si="37"/>
        <v/>
      </c>
      <c r="AY62" s="114"/>
    </row>
    <row r="63" spans="2:51" ht="16.149999999999999" thickBot="1">
      <c r="E63" s="102"/>
      <c r="F63" s="281"/>
      <c r="G63" s="437" t="s">
        <v>376</v>
      </c>
      <c r="H63" s="79"/>
      <c r="I63" s="603">
        <v>0</v>
      </c>
      <c r="J63" s="159">
        <f ca="1">I63/$G$38</f>
        <v>0</v>
      </c>
      <c r="K63" s="160"/>
      <c r="L63" s="62" t="s">
        <v>432</v>
      </c>
      <c r="M63" s="393">
        <f ca="1">IF(ISBLANK(OFFSET(M63,0,$P$41)),$N63,OFFSET(M63,0,$P$41))</f>
        <v>0</v>
      </c>
      <c r="N63" s="640">
        <v>0</v>
      </c>
      <c r="O63" s="641"/>
      <c r="P63" s="642"/>
      <c r="Q63" s="151"/>
      <c r="R63" s="282"/>
      <c r="S63"/>
      <c r="T63" s="326">
        <v>5</v>
      </c>
      <c r="U63" s="132" t="str">
        <f t="shared" ca="1" si="35"/>
        <v/>
      </c>
      <c r="V63" s="132" t="str">
        <f t="shared" ca="1" si="35"/>
        <v/>
      </c>
      <c r="W63" s="132" t="str">
        <f t="shared" ca="1" si="35"/>
        <v/>
      </c>
      <c r="X63" s="132" t="str">
        <f t="shared" ca="1" si="35"/>
        <v/>
      </c>
      <c r="Y63" s="132" t="str">
        <f t="shared" ca="1" si="35"/>
        <v/>
      </c>
      <c r="Z63" s="431" t="str">
        <f t="shared" ca="1" si="35"/>
        <v/>
      </c>
      <c r="AA63" s="132" t="str">
        <f t="shared" ca="1" si="35"/>
        <v/>
      </c>
      <c r="AB63" s="132" t="str">
        <f t="shared" ca="1" si="35"/>
        <v/>
      </c>
      <c r="AC63" s="132">
        <f t="shared" ca="1" si="35"/>
        <v>396000</v>
      </c>
      <c r="AD63" s="132" t="str">
        <f t="shared" ca="1" si="35"/>
        <v/>
      </c>
      <c r="AE63" s="132" t="str">
        <f t="shared" ca="1" si="36"/>
        <v/>
      </c>
      <c r="AF63" s="431" t="str">
        <f t="shared" ca="1" si="36"/>
        <v/>
      </c>
      <c r="AG63" s="132" t="str">
        <f t="shared" ca="1" si="36"/>
        <v/>
      </c>
      <c r="AH63" s="132" t="str">
        <f t="shared" ca="1" si="36"/>
        <v/>
      </c>
      <c r="AI63" s="132" t="str">
        <f t="shared" ca="1" si="36"/>
        <v/>
      </c>
      <c r="AJ63" s="132" t="str">
        <f t="shared" ca="1" si="36"/>
        <v/>
      </c>
      <c r="AK63" s="132" t="str">
        <f t="shared" ca="1" si="36"/>
        <v/>
      </c>
      <c r="AL63" s="431" t="str">
        <f t="shared" ca="1" si="36"/>
        <v/>
      </c>
      <c r="AM63" s="132" t="str">
        <f t="shared" ca="1" si="36"/>
        <v/>
      </c>
      <c r="AN63" s="132" t="str">
        <f t="shared" ca="1" si="36"/>
        <v/>
      </c>
      <c r="AO63" s="132" t="str">
        <f t="shared" ca="1" si="37"/>
        <v/>
      </c>
      <c r="AP63" s="132" t="str">
        <f t="shared" ca="1" si="37"/>
        <v/>
      </c>
      <c r="AQ63" s="132" t="str">
        <f t="shared" ca="1" si="37"/>
        <v/>
      </c>
      <c r="AR63" s="431" t="str">
        <f t="shared" ca="1" si="37"/>
        <v/>
      </c>
      <c r="AS63" s="132" t="str">
        <f t="shared" ca="1" si="37"/>
        <v/>
      </c>
      <c r="AT63" s="132" t="str">
        <f t="shared" ca="1" si="37"/>
        <v/>
      </c>
      <c r="AU63" s="132" t="str">
        <f t="shared" ca="1" si="37"/>
        <v/>
      </c>
      <c r="AV63" s="132" t="str">
        <f t="shared" ca="1" si="37"/>
        <v/>
      </c>
      <c r="AW63" s="132" t="str">
        <f t="shared" ca="1" si="37"/>
        <v/>
      </c>
      <c r="AX63" s="132" t="str">
        <f t="shared" ca="1" si="37"/>
        <v/>
      </c>
      <c r="AY63" s="114"/>
    </row>
    <row r="64" spans="2:51" ht="14.45">
      <c r="G64" s="437" t="s">
        <v>379</v>
      </c>
      <c r="H64" s="79"/>
      <c r="I64" s="603">
        <v>7000</v>
      </c>
      <c r="J64" s="159">
        <f ca="1">I64/$G$38</f>
        <v>7000</v>
      </c>
      <c r="K64" s="160"/>
      <c r="L64" s="94"/>
      <c r="M64" s="214"/>
      <c r="N64" s="55"/>
      <c r="O64" s="166"/>
      <c r="P64" s="215"/>
      <c r="Q64" s="221"/>
      <c r="R64" s="282"/>
      <c r="S64"/>
      <c r="T64" s="326">
        <v>7</v>
      </c>
      <c r="U64" s="132" t="str">
        <f t="shared" ca="1" si="35"/>
        <v/>
      </c>
      <c r="V64" s="132" t="str">
        <f t="shared" ca="1" si="35"/>
        <v/>
      </c>
      <c r="W64" s="132" t="str">
        <f t="shared" ca="1" si="35"/>
        <v/>
      </c>
      <c r="X64" s="132" t="str">
        <f t="shared" ca="1" si="35"/>
        <v/>
      </c>
      <c r="Y64" s="132" t="str">
        <f t="shared" ca="1" si="35"/>
        <v/>
      </c>
      <c r="Z64" s="431" t="str">
        <f t="shared" ca="1" si="35"/>
        <v/>
      </c>
      <c r="AA64" s="132" t="str">
        <f t="shared" ca="1" si="35"/>
        <v/>
      </c>
      <c r="AB64" s="132" t="str">
        <f t="shared" ca="1" si="35"/>
        <v/>
      </c>
      <c r="AC64" s="132">
        <f t="shared" ca="1" si="35"/>
        <v>412000</v>
      </c>
      <c r="AD64" s="132" t="str">
        <f t="shared" ca="1" si="35"/>
        <v/>
      </c>
      <c r="AE64" s="132" t="str">
        <f t="shared" ca="1" si="36"/>
        <v/>
      </c>
      <c r="AF64" s="431" t="str">
        <f t="shared" ca="1" si="36"/>
        <v/>
      </c>
      <c r="AG64" s="132" t="str">
        <f t="shared" ca="1" si="36"/>
        <v/>
      </c>
      <c r="AH64" s="132" t="str">
        <f t="shared" ca="1" si="36"/>
        <v/>
      </c>
      <c r="AI64" s="132" t="str">
        <f t="shared" ca="1" si="36"/>
        <v/>
      </c>
      <c r="AJ64" s="132" t="str">
        <f t="shared" ca="1" si="36"/>
        <v/>
      </c>
      <c r="AK64" s="132" t="str">
        <f t="shared" ca="1" si="36"/>
        <v/>
      </c>
      <c r="AL64" s="431" t="str">
        <f t="shared" ca="1" si="36"/>
        <v/>
      </c>
      <c r="AM64" s="132" t="str">
        <f t="shared" ca="1" si="36"/>
        <v/>
      </c>
      <c r="AN64" s="132" t="str">
        <f t="shared" ca="1" si="36"/>
        <v/>
      </c>
      <c r="AO64" s="132" t="str">
        <f t="shared" ca="1" si="37"/>
        <v/>
      </c>
      <c r="AP64" s="132" t="str">
        <f t="shared" ca="1" si="37"/>
        <v/>
      </c>
      <c r="AQ64" s="132" t="str">
        <f t="shared" ca="1" si="37"/>
        <v/>
      </c>
      <c r="AR64" s="431" t="str">
        <f t="shared" ca="1" si="37"/>
        <v/>
      </c>
      <c r="AS64" s="132" t="str">
        <f t="shared" ca="1" si="37"/>
        <v/>
      </c>
      <c r="AT64" s="132" t="str">
        <f t="shared" ca="1" si="37"/>
        <v/>
      </c>
      <c r="AU64" s="132" t="str">
        <f t="shared" ca="1" si="37"/>
        <v/>
      </c>
      <c r="AV64" s="132" t="str">
        <f t="shared" ca="1" si="37"/>
        <v/>
      </c>
      <c r="AW64" s="132" t="str">
        <f t="shared" ca="1" si="37"/>
        <v/>
      </c>
      <c r="AX64" s="132" t="str">
        <f t="shared" ca="1" si="37"/>
        <v/>
      </c>
      <c r="AY64" s="114"/>
    </row>
    <row r="65" spans="3:51" ht="15" thickBot="1">
      <c r="G65" s="437" t="s">
        <v>383</v>
      </c>
      <c r="H65" s="79"/>
      <c r="I65" s="603">
        <v>10000</v>
      </c>
      <c r="J65" s="159">
        <f ca="1">I65/$G$38</f>
        <v>10000</v>
      </c>
      <c r="K65" s="160"/>
      <c r="L65" s="91"/>
      <c r="M65" s="205"/>
      <c r="N65" s="55"/>
      <c r="O65" s="166"/>
      <c r="P65" s="215"/>
      <c r="Q65" s="151"/>
      <c r="R65" s="282"/>
      <c r="S65"/>
      <c r="T65" s="326">
        <v>10</v>
      </c>
      <c r="U65" s="132" t="str">
        <f t="shared" ca="1" si="35"/>
        <v/>
      </c>
      <c r="V65" s="132" t="str">
        <f t="shared" ca="1" si="35"/>
        <v/>
      </c>
      <c r="W65" s="132" t="str">
        <f t="shared" ca="1" si="35"/>
        <v/>
      </c>
      <c r="X65" s="132" t="str">
        <f t="shared" ca="1" si="35"/>
        <v/>
      </c>
      <c r="Y65" s="132" t="str">
        <f t="shared" ca="1" si="35"/>
        <v/>
      </c>
      <c r="Z65" s="431" t="str">
        <f t="shared" ca="1" si="35"/>
        <v/>
      </c>
      <c r="AA65" s="132" t="str">
        <f t="shared" ca="1" si="35"/>
        <v/>
      </c>
      <c r="AB65" s="132" t="str">
        <f t="shared" ca="1" si="35"/>
        <v/>
      </c>
      <c r="AC65" s="132">
        <f t="shared" ca="1" si="35"/>
        <v>437300</v>
      </c>
      <c r="AD65" s="132" t="str">
        <f t="shared" ca="1" si="35"/>
        <v/>
      </c>
      <c r="AE65" s="132" t="str">
        <f t="shared" ca="1" si="36"/>
        <v/>
      </c>
      <c r="AF65" s="431" t="str">
        <f t="shared" ca="1" si="36"/>
        <v/>
      </c>
      <c r="AG65" s="132" t="str">
        <f t="shared" ca="1" si="36"/>
        <v/>
      </c>
      <c r="AH65" s="132" t="str">
        <f t="shared" ca="1" si="36"/>
        <v/>
      </c>
      <c r="AI65" s="132" t="str">
        <f t="shared" ca="1" si="36"/>
        <v/>
      </c>
      <c r="AJ65" s="132" t="str">
        <f t="shared" ca="1" si="36"/>
        <v/>
      </c>
      <c r="AK65" s="132" t="str">
        <f t="shared" ca="1" si="36"/>
        <v/>
      </c>
      <c r="AL65" s="431" t="str">
        <f t="shared" ca="1" si="36"/>
        <v/>
      </c>
      <c r="AM65" s="132" t="str">
        <f t="shared" ca="1" si="36"/>
        <v/>
      </c>
      <c r="AN65" s="132" t="str">
        <f t="shared" ca="1" si="36"/>
        <v/>
      </c>
      <c r="AO65" s="132" t="str">
        <f t="shared" ca="1" si="37"/>
        <v/>
      </c>
      <c r="AP65" s="132" t="str">
        <f t="shared" ca="1" si="37"/>
        <v/>
      </c>
      <c r="AQ65" s="132" t="str">
        <f t="shared" ca="1" si="37"/>
        <v/>
      </c>
      <c r="AR65" s="431" t="str">
        <f t="shared" ca="1" si="37"/>
        <v/>
      </c>
      <c r="AS65" s="132" t="str">
        <f t="shared" ca="1" si="37"/>
        <v/>
      </c>
      <c r="AT65" s="132" t="str">
        <f t="shared" ca="1" si="37"/>
        <v/>
      </c>
      <c r="AU65" s="132" t="str">
        <f t="shared" ca="1" si="37"/>
        <v/>
      </c>
      <c r="AV65" s="132" t="str">
        <f t="shared" ca="1" si="37"/>
        <v/>
      </c>
      <c r="AW65" s="132" t="str">
        <f t="shared" ca="1" si="37"/>
        <v/>
      </c>
      <c r="AX65" s="132" t="str">
        <f t="shared" ca="1" si="37"/>
        <v/>
      </c>
      <c r="AY65" s="114"/>
    </row>
    <row r="66" spans="3:51" ht="14.45">
      <c r="G66" s="437" t="s">
        <v>386</v>
      </c>
      <c r="H66" s="79"/>
      <c r="I66" s="605">
        <v>0</v>
      </c>
      <c r="J66" s="304">
        <f ca="1">I66/$G$38</f>
        <v>0</v>
      </c>
      <c r="K66" s="160"/>
      <c r="L66" s="54" t="s">
        <v>433</v>
      </c>
      <c r="M66" s="163"/>
      <c r="N66" s="189"/>
      <c r="O66" s="189"/>
      <c r="P66" s="190"/>
      <c r="Q66" s="151"/>
      <c r="R66" s="282"/>
      <c r="S66"/>
      <c r="T66" s="326">
        <v>15</v>
      </c>
      <c r="U66" s="132" t="str">
        <f t="shared" ca="1" si="35"/>
        <v/>
      </c>
      <c r="V66" s="132" t="str">
        <f t="shared" ca="1" si="35"/>
        <v/>
      </c>
      <c r="W66" s="132" t="str">
        <f t="shared" ca="1" si="35"/>
        <v/>
      </c>
      <c r="X66" s="132" t="str">
        <f t="shared" ca="1" si="35"/>
        <v/>
      </c>
      <c r="Y66" s="132" t="str">
        <f t="shared" ca="1" si="35"/>
        <v/>
      </c>
      <c r="Z66" s="431" t="str">
        <f t="shared" ca="1" si="35"/>
        <v/>
      </c>
      <c r="AA66" s="132" t="str">
        <f t="shared" ca="1" si="35"/>
        <v/>
      </c>
      <c r="AB66" s="132" t="str">
        <f t="shared" ca="1" si="35"/>
        <v/>
      </c>
      <c r="AC66" s="132">
        <f t="shared" ca="1" si="35"/>
        <v>482800</v>
      </c>
      <c r="AD66" s="132" t="str">
        <f t="shared" ca="1" si="35"/>
        <v/>
      </c>
      <c r="AE66" s="132" t="str">
        <f t="shared" ca="1" si="36"/>
        <v/>
      </c>
      <c r="AF66" s="431" t="str">
        <f t="shared" ca="1" si="36"/>
        <v/>
      </c>
      <c r="AG66" s="132" t="str">
        <f t="shared" ca="1" si="36"/>
        <v/>
      </c>
      <c r="AH66" s="132" t="str">
        <f t="shared" ca="1" si="36"/>
        <v/>
      </c>
      <c r="AI66" s="132" t="str">
        <f t="shared" ca="1" si="36"/>
        <v/>
      </c>
      <c r="AJ66" s="132" t="str">
        <f t="shared" ca="1" si="36"/>
        <v/>
      </c>
      <c r="AK66" s="132" t="str">
        <f t="shared" ca="1" si="36"/>
        <v/>
      </c>
      <c r="AL66" s="431" t="str">
        <f t="shared" ca="1" si="36"/>
        <v/>
      </c>
      <c r="AM66" s="132" t="str">
        <f t="shared" ca="1" si="36"/>
        <v/>
      </c>
      <c r="AN66" s="132" t="str">
        <f t="shared" ca="1" si="36"/>
        <v/>
      </c>
      <c r="AO66" s="132" t="str">
        <f t="shared" ca="1" si="37"/>
        <v/>
      </c>
      <c r="AP66" s="132" t="str">
        <f t="shared" ca="1" si="37"/>
        <v/>
      </c>
      <c r="AQ66" s="132" t="str">
        <f t="shared" ca="1" si="37"/>
        <v/>
      </c>
      <c r="AR66" s="431" t="str">
        <f t="shared" ca="1" si="37"/>
        <v/>
      </c>
      <c r="AS66" s="132" t="str">
        <f t="shared" ca="1" si="37"/>
        <v/>
      </c>
      <c r="AT66" s="132" t="str">
        <f t="shared" ca="1" si="37"/>
        <v/>
      </c>
      <c r="AU66" s="132" t="str">
        <f t="shared" ca="1" si="37"/>
        <v/>
      </c>
      <c r="AV66" s="132" t="str">
        <f t="shared" ca="1" si="37"/>
        <v/>
      </c>
      <c r="AW66" s="132" t="str">
        <f t="shared" ca="1" si="37"/>
        <v/>
      </c>
      <c r="AX66" s="132" t="str">
        <f t="shared" ca="1" si="37"/>
        <v/>
      </c>
      <c r="AY66" s="114"/>
    </row>
    <row r="67" spans="3:51" ht="15" thickBot="1">
      <c r="G67" s="437"/>
      <c r="H67" s="79"/>
      <c r="I67" s="179"/>
      <c r="J67" s="159"/>
      <c r="K67" s="160"/>
      <c r="L67" s="62" t="s">
        <v>222</v>
      </c>
      <c r="M67" s="392">
        <f ca="1">IF(ISBLANK(OFFSET(M67,0,$P$41)),$N67,OFFSET(M67,0,$P$41))</f>
        <v>12000</v>
      </c>
      <c r="N67" s="643">
        <v>12000</v>
      </c>
      <c r="O67" s="644"/>
      <c r="P67" s="645"/>
      <c r="Q67" s="151"/>
      <c r="R67" s="282"/>
      <c r="S67"/>
      <c r="T67" s="326">
        <v>20</v>
      </c>
      <c r="U67" s="132" t="str">
        <f t="shared" ca="1" si="35"/>
        <v/>
      </c>
      <c r="V67" s="132" t="str">
        <f t="shared" ca="1" si="35"/>
        <v/>
      </c>
      <c r="W67" s="132" t="str">
        <f t="shared" ca="1" si="35"/>
        <v/>
      </c>
      <c r="X67" s="132" t="str">
        <f t="shared" ca="1" si="35"/>
        <v/>
      </c>
      <c r="Y67" s="132" t="str">
        <f t="shared" ca="1" si="35"/>
        <v/>
      </c>
      <c r="Z67" s="431" t="str">
        <f t="shared" ca="1" si="35"/>
        <v/>
      </c>
      <c r="AA67" s="132" t="str">
        <f t="shared" ca="1" si="35"/>
        <v/>
      </c>
      <c r="AB67" s="132" t="str">
        <f t="shared" ca="1" si="35"/>
        <v/>
      </c>
      <c r="AC67" s="132">
        <f t="shared" ca="1" si="35"/>
        <v>533000</v>
      </c>
      <c r="AD67" s="132" t="str">
        <f t="shared" ca="1" si="35"/>
        <v/>
      </c>
      <c r="AE67" s="132" t="str">
        <f t="shared" ca="1" si="36"/>
        <v/>
      </c>
      <c r="AF67" s="431" t="str">
        <f t="shared" ca="1" si="36"/>
        <v/>
      </c>
      <c r="AG67" s="132" t="str">
        <f t="shared" ca="1" si="36"/>
        <v/>
      </c>
      <c r="AH67" s="132" t="str">
        <f t="shared" ca="1" si="36"/>
        <v/>
      </c>
      <c r="AI67" s="132" t="str">
        <f t="shared" ca="1" si="36"/>
        <v/>
      </c>
      <c r="AJ67" s="132" t="str">
        <f t="shared" ca="1" si="36"/>
        <v/>
      </c>
      <c r="AK67" s="132" t="str">
        <f t="shared" ca="1" si="36"/>
        <v/>
      </c>
      <c r="AL67" s="431" t="str">
        <f t="shared" ca="1" si="36"/>
        <v/>
      </c>
      <c r="AM67" s="132" t="str">
        <f t="shared" ca="1" si="36"/>
        <v/>
      </c>
      <c r="AN67" s="132" t="str">
        <f t="shared" ca="1" si="36"/>
        <v/>
      </c>
      <c r="AO67" s="132" t="str">
        <f t="shared" ca="1" si="37"/>
        <v/>
      </c>
      <c r="AP67" s="132" t="str">
        <f t="shared" ca="1" si="37"/>
        <v/>
      </c>
      <c r="AQ67" s="132" t="str">
        <f t="shared" ca="1" si="37"/>
        <v/>
      </c>
      <c r="AR67" s="431" t="str">
        <f t="shared" ca="1" si="37"/>
        <v/>
      </c>
      <c r="AS67" s="132" t="str">
        <f t="shared" ca="1" si="37"/>
        <v/>
      </c>
      <c r="AT67" s="132" t="str">
        <f t="shared" ca="1" si="37"/>
        <v/>
      </c>
      <c r="AU67" s="132" t="str">
        <f t="shared" ca="1" si="37"/>
        <v/>
      </c>
      <c r="AV67" s="132" t="str">
        <f t="shared" ca="1" si="37"/>
        <v/>
      </c>
      <c r="AW67" s="132" t="str">
        <f t="shared" ca="1" si="37"/>
        <v/>
      </c>
      <c r="AX67" s="132" t="str">
        <f t="shared" ca="1" si="37"/>
        <v/>
      </c>
      <c r="AY67" s="114"/>
    </row>
    <row r="68" spans="3:51" ht="14.45">
      <c r="G68" s="28" t="s">
        <v>389</v>
      </c>
      <c r="H68" s="79"/>
      <c r="I68" s="439"/>
      <c r="J68" s="159"/>
      <c r="K68" s="160"/>
      <c r="L68" s="91"/>
      <c r="M68" s="205"/>
      <c r="N68" s="55"/>
      <c r="O68" s="219"/>
      <c r="P68" s="215"/>
      <c r="Q68" s="151"/>
      <c r="R68" s="273"/>
      <c r="S68"/>
      <c r="T68" s="270"/>
      <c r="U68" s="55"/>
      <c r="V68" s="55"/>
      <c r="W68" s="55"/>
      <c r="X68" s="55"/>
      <c r="Y68" s="55"/>
      <c r="Z68" s="435"/>
      <c r="AA68" s="55"/>
      <c r="AB68" s="55"/>
      <c r="AC68" s="55"/>
      <c r="AD68" s="55"/>
      <c r="AE68" s="55"/>
      <c r="AF68" s="435"/>
      <c r="AG68" s="55"/>
      <c r="AH68" s="55"/>
      <c r="AI68" s="55"/>
      <c r="AJ68" s="55"/>
      <c r="AK68" s="55"/>
      <c r="AL68" s="435"/>
      <c r="AM68" s="55"/>
      <c r="AN68" s="55"/>
      <c r="AO68" s="55"/>
      <c r="AP68" s="55"/>
      <c r="AQ68" s="55"/>
      <c r="AR68" s="435"/>
      <c r="AS68" s="55"/>
      <c r="AT68" s="55"/>
      <c r="AU68" s="55"/>
      <c r="AV68" s="55"/>
      <c r="AW68" s="55"/>
      <c r="AX68" s="55"/>
      <c r="AY68" s="114"/>
    </row>
    <row r="69" spans="3:51" ht="31.9" thickBot="1">
      <c r="G69" s="437" t="s">
        <v>391</v>
      </c>
      <c r="H69" s="79"/>
      <c r="I69" s="603">
        <v>0</v>
      </c>
      <c r="J69" s="159">
        <f t="shared" ref="J69:J79" ca="1" si="38">I69/$G$38</f>
        <v>0</v>
      </c>
      <c r="K69" s="160"/>
      <c r="L69" s="91"/>
      <c r="M69" s="205"/>
      <c r="N69" s="55"/>
      <c r="O69" s="220"/>
      <c r="P69" s="25"/>
      <c r="R69" s="273"/>
      <c r="S69"/>
      <c r="T69" s="321" t="s">
        <v>533</v>
      </c>
      <c r="U69" s="55"/>
      <c r="V69" s="55"/>
      <c r="W69" s="55"/>
      <c r="X69" s="55"/>
      <c r="Y69" s="55"/>
      <c r="Z69" s="435"/>
      <c r="AA69" s="55"/>
      <c r="AB69" s="55"/>
      <c r="AC69" s="55"/>
      <c r="AD69" s="55"/>
      <c r="AE69" s="55"/>
      <c r="AF69" s="435"/>
      <c r="AG69" s="55"/>
      <c r="AH69" s="55"/>
      <c r="AI69" s="55"/>
      <c r="AJ69" s="55"/>
      <c r="AK69" s="55"/>
      <c r="AL69" s="435"/>
      <c r="AM69" s="55"/>
      <c r="AN69" s="55"/>
      <c r="AO69" s="55"/>
      <c r="AP69" s="55"/>
      <c r="AQ69" s="55"/>
      <c r="AR69" s="435"/>
      <c r="AS69" s="55"/>
      <c r="AT69" s="55"/>
      <c r="AU69" s="55"/>
      <c r="AV69" s="55"/>
      <c r="AW69" s="55"/>
      <c r="AX69" s="55"/>
      <c r="AY69" s="114"/>
    </row>
    <row r="70" spans="3:51" ht="14.45">
      <c r="C70" s="358"/>
      <c r="E70" s="102" t="s">
        <v>394</v>
      </c>
      <c r="F70" s="187">
        <f ca="1">(C21*M46*M47)+(C21*M48)+(C22*M53*M54)+(C22*M55)</f>
        <v>148447.15589671876</v>
      </c>
      <c r="G70" s="437" t="s">
        <v>395</v>
      </c>
      <c r="H70" s="79"/>
      <c r="I70" s="603">
        <v>100000</v>
      </c>
      <c r="J70" s="159">
        <f t="shared" ca="1" si="38"/>
        <v>100000</v>
      </c>
      <c r="K70" s="160"/>
      <c r="L70" s="222" t="s">
        <v>434</v>
      </c>
      <c r="M70" s="394"/>
      <c r="N70" s="189"/>
      <c r="O70" s="189"/>
      <c r="P70" s="190"/>
      <c r="R70" s="273"/>
      <c r="S70"/>
      <c r="T70" s="323" t="s">
        <v>534</v>
      </c>
      <c r="U70" s="132" t="str">
        <f t="shared" ref="U70:AX70" ca="1" si="39">U21</f>
        <v/>
      </c>
      <c r="V70" s="132" t="str">
        <f t="shared" ca="1" si="39"/>
        <v/>
      </c>
      <c r="W70" s="132" t="str">
        <f t="shared" ca="1" si="39"/>
        <v/>
      </c>
      <c r="X70" s="132" t="str">
        <f t="shared" ca="1" si="39"/>
        <v/>
      </c>
      <c r="Y70" s="132" t="str">
        <f t="shared" ca="1" si="39"/>
        <v/>
      </c>
      <c r="Z70" s="431" t="str">
        <f t="shared" ca="1" si="39"/>
        <v/>
      </c>
      <c r="AA70" s="132" t="str">
        <f t="shared" ca="1" si="39"/>
        <v/>
      </c>
      <c r="AB70" s="132" t="str">
        <f t="shared" ca="1" si="39"/>
        <v/>
      </c>
      <c r="AC70" s="132">
        <f t="shared" ca="1" si="39"/>
        <v>75000</v>
      </c>
      <c r="AD70" s="132" t="str">
        <f t="shared" ca="1" si="39"/>
        <v/>
      </c>
      <c r="AE70" s="132" t="str">
        <f t="shared" ca="1" si="39"/>
        <v/>
      </c>
      <c r="AF70" s="431" t="str">
        <f t="shared" ca="1" si="39"/>
        <v/>
      </c>
      <c r="AG70" s="132" t="str">
        <f t="shared" ca="1" si="39"/>
        <v/>
      </c>
      <c r="AH70" s="132" t="str">
        <f t="shared" ca="1" si="39"/>
        <v/>
      </c>
      <c r="AI70" s="132" t="str">
        <f t="shared" ca="1" si="39"/>
        <v/>
      </c>
      <c r="AJ70" s="132" t="str">
        <f t="shared" ca="1" si="39"/>
        <v/>
      </c>
      <c r="AK70" s="132" t="str">
        <f t="shared" ca="1" si="39"/>
        <v/>
      </c>
      <c r="AL70" s="431" t="str">
        <f t="shared" ca="1" si="39"/>
        <v/>
      </c>
      <c r="AM70" s="132" t="str">
        <f t="shared" ca="1" si="39"/>
        <v/>
      </c>
      <c r="AN70" s="132" t="str">
        <f t="shared" ca="1" si="39"/>
        <v/>
      </c>
      <c r="AO70" s="132" t="str">
        <f t="shared" ca="1" si="39"/>
        <v/>
      </c>
      <c r="AP70" s="132" t="str">
        <f t="shared" ca="1" si="39"/>
        <v/>
      </c>
      <c r="AQ70" s="132" t="str">
        <f t="shared" ca="1" si="39"/>
        <v/>
      </c>
      <c r="AR70" s="431" t="str">
        <f t="shared" ca="1" si="39"/>
        <v/>
      </c>
      <c r="AS70" s="132" t="str">
        <f t="shared" ca="1" si="39"/>
        <v/>
      </c>
      <c r="AT70" s="132" t="str">
        <f t="shared" ca="1" si="39"/>
        <v/>
      </c>
      <c r="AU70" s="132" t="str">
        <f t="shared" ca="1" si="39"/>
        <v/>
      </c>
      <c r="AV70" s="132" t="str">
        <f t="shared" ca="1" si="39"/>
        <v/>
      </c>
      <c r="AW70" s="132" t="str">
        <f t="shared" ca="1" si="39"/>
        <v/>
      </c>
      <c r="AX70" s="132" t="str">
        <f t="shared" ca="1" si="39"/>
        <v/>
      </c>
      <c r="AY70" s="114"/>
    </row>
    <row r="71" spans="3:51" ht="15" thickBot="1">
      <c r="G71" s="437" t="s">
        <v>398</v>
      </c>
      <c r="H71" s="79"/>
      <c r="I71" s="603">
        <v>7000</v>
      </c>
      <c r="J71" s="159">
        <f t="shared" ca="1" si="38"/>
        <v>7000</v>
      </c>
      <c r="K71" s="160"/>
      <c r="L71" s="62" t="s">
        <v>222</v>
      </c>
      <c r="M71" s="392">
        <f ca="1">IF(ISBLANK(OFFSET(M71,0,$P$41)),$N71,OFFSET(M71,0,$P$41))</f>
        <v>150000</v>
      </c>
      <c r="N71" s="643">
        <v>150000</v>
      </c>
      <c r="O71" s="644"/>
      <c r="P71" s="645"/>
      <c r="R71" s="273"/>
      <c r="S71"/>
      <c r="T71" s="326">
        <v>3</v>
      </c>
      <c r="U71" s="132" t="str">
        <f t="shared" ref="U71:AX76" ca="1" si="40">IFERROR(ROUND(U62-U42,-2),"")</f>
        <v/>
      </c>
      <c r="V71" s="132" t="str">
        <f t="shared" ca="1" si="40"/>
        <v/>
      </c>
      <c r="W71" s="132" t="str">
        <f t="shared" ca="1" si="40"/>
        <v/>
      </c>
      <c r="X71" s="132" t="str">
        <f t="shared" ca="1" si="40"/>
        <v/>
      </c>
      <c r="Y71" s="132" t="str">
        <f t="shared" ca="1" si="40"/>
        <v/>
      </c>
      <c r="Z71" s="431" t="str">
        <f t="shared" ca="1" si="40"/>
        <v/>
      </c>
      <c r="AA71" s="132" t="str">
        <f t="shared" ca="1" si="40"/>
        <v/>
      </c>
      <c r="AB71" s="132" t="str">
        <f t="shared" ca="1" si="40"/>
        <v/>
      </c>
      <c r="AC71" s="132">
        <f t="shared" ca="1" si="40"/>
        <v>105200</v>
      </c>
      <c r="AD71" s="132" t="str">
        <f t="shared" ca="1" si="40"/>
        <v/>
      </c>
      <c r="AE71" s="132" t="str">
        <f t="shared" ca="1" si="40"/>
        <v/>
      </c>
      <c r="AF71" s="431" t="str">
        <f t="shared" ca="1" si="40"/>
        <v/>
      </c>
      <c r="AG71" s="132" t="str">
        <f t="shared" ca="1" si="40"/>
        <v/>
      </c>
      <c r="AH71" s="132" t="str">
        <f t="shared" ca="1" si="40"/>
        <v/>
      </c>
      <c r="AI71" s="132" t="str">
        <f t="shared" ca="1" si="40"/>
        <v/>
      </c>
      <c r="AJ71" s="132" t="str">
        <f t="shared" ca="1" si="40"/>
        <v/>
      </c>
      <c r="AK71" s="132" t="str">
        <f t="shared" ca="1" si="40"/>
        <v/>
      </c>
      <c r="AL71" s="431" t="str">
        <f t="shared" ca="1" si="40"/>
        <v/>
      </c>
      <c r="AM71" s="132" t="str">
        <f t="shared" ca="1" si="40"/>
        <v/>
      </c>
      <c r="AN71" s="132" t="str">
        <f t="shared" ca="1" si="40"/>
        <v/>
      </c>
      <c r="AO71" s="132" t="str">
        <f t="shared" ca="1" si="40"/>
        <v/>
      </c>
      <c r="AP71" s="132" t="str">
        <f t="shared" ca="1" si="40"/>
        <v/>
      </c>
      <c r="AQ71" s="132" t="str">
        <f t="shared" ca="1" si="40"/>
        <v/>
      </c>
      <c r="AR71" s="431" t="str">
        <f t="shared" ca="1" si="40"/>
        <v/>
      </c>
      <c r="AS71" s="132" t="str">
        <f t="shared" ca="1" si="40"/>
        <v/>
      </c>
      <c r="AT71" s="132" t="str">
        <f t="shared" ca="1" si="40"/>
        <v/>
      </c>
      <c r="AU71" s="132" t="str">
        <f t="shared" ca="1" si="40"/>
        <v/>
      </c>
      <c r="AV71" s="132" t="str">
        <f t="shared" ca="1" si="40"/>
        <v/>
      </c>
      <c r="AW71" s="132" t="str">
        <f t="shared" ca="1" si="40"/>
        <v/>
      </c>
      <c r="AX71" s="132" t="str">
        <f t="shared" ca="1" si="40"/>
        <v/>
      </c>
      <c r="AY71" s="114"/>
    </row>
    <row r="72" spans="3:51" ht="15" thickBot="1">
      <c r="C72" s="84" t="s">
        <v>535</v>
      </c>
      <c r="D72" s="683">
        <v>700</v>
      </c>
      <c r="E72" s="102" t="s">
        <v>536</v>
      </c>
      <c r="F72" s="610">
        <v>6</v>
      </c>
      <c r="G72" s="437" t="s">
        <v>402</v>
      </c>
      <c r="H72" s="79"/>
      <c r="I72" s="109">
        <f ca="1">(F72/12)*D72*G38</f>
        <v>350</v>
      </c>
      <c r="J72" s="159" t="str">
        <f ca="1">U21</f>
        <v/>
      </c>
      <c r="K72" s="177"/>
      <c r="L72" s="28"/>
      <c r="M72" s="79"/>
      <c r="N72" s="228"/>
      <c r="O72" s="166"/>
      <c r="P72" s="229"/>
      <c r="R72" s="273"/>
      <c r="S72"/>
      <c r="T72" s="326">
        <v>5</v>
      </c>
      <c r="U72" s="132" t="str">
        <f t="shared" ca="1" si="40"/>
        <v/>
      </c>
      <c r="V72" s="132" t="str">
        <f t="shared" ca="1" si="40"/>
        <v/>
      </c>
      <c r="W72" s="132" t="str">
        <f t="shared" ca="1" si="40"/>
        <v/>
      </c>
      <c r="X72" s="132" t="str">
        <f t="shared" ca="1" si="40"/>
        <v/>
      </c>
      <c r="Y72" s="132" t="str">
        <f t="shared" ca="1" si="40"/>
        <v/>
      </c>
      <c r="Z72" s="431" t="str">
        <f t="shared" ca="1" si="40"/>
        <v/>
      </c>
      <c r="AA72" s="132" t="str">
        <f t="shared" ca="1" si="40"/>
        <v/>
      </c>
      <c r="AB72" s="132" t="str">
        <f t="shared" ca="1" si="40"/>
        <v/>
      </c>
      <c r="AC72" s="132">
        <f t="shared" ca="1" si="40"/>
        <v>129200</v>
      </c>
      <c r="AD72" s="132" t="str">
        <f t="shared" ca="1" si="40"/>
        <v/>
      </c>
      <c r="AE72" s="132" t="str">
        <f t="shared" ca="1" si="40"/>
        <v/>
      </c>
      <c r="AF72" s="431" t="str">
        <f t="shared" ca="1" si="40"/>
        <v/>
      </c>
      <c r="AG72" s="132" t="str">
        <f t="shared" ca="1" si="40"/>
        <v/>
      </c>
      <c r="AH72" s="132" t="str">
        <f t="shared" ca="1" si="40"/>
        <v/>
      </c>
      <c r="AI72" s="132" t="str">
        <f t="shared" ca="1" si="40"/>
        <v/>
      </c>
      <c r="AJ72" s="132" t="str">
        <f t="shared" ca="1" si="40"/>
        <v/>
      </c>
      <c r="AK72" s="132" t="str">
        <f t="shared" ca="1" si="40"/>
        <v/>
      </c>
      <c r="AL72" s="431" t="str">
        <f t="shared" ca="1" si="40"/>
        <v/>
      </c>
      <c r="AM72" s="132" t="str">
        <f t="shared" ca="1" si="40"/>
        <v/>
      </c>
      <c r="AN72" s="132" t="str">
        <f t="shared" ca="1" si="40"/>
        <v/>
      </c>
      <c r="AO72" s="132" t="str">
        <f t="shared" ca="1" si="40"/>
        <v/>
      </c>
      <c r="AP72" s="132" t="str">
        <f t="shared" ca="1" si="40"/>
        <v/>
      </c>
      <c r="AQ72" s="132" t="str">
        <f t="shared" ca="1" si="40"/>
        <v/>
      </c>
      <c r="AR72" s="431" t="str">
        <f t="shared" ca="1" si="40"/>
        <v/>
      </c>
      <c r="AS72" s="132" t="str">
        <f t="shared" ca="1" si="40"/>
        <v/>
      </c>
      <c r="AT72" s="132" t="str">
        <f t="shared" ca="1" si="40"/>
        <v/>
      </c>
      <c r="AU72" s="132" t="str">
        <f t="shared" ca="1" si="40"/>
        <v/>
      </c>
      <c r="AV72" s="132" t="str">
        <f t="shared" ca="1" si="40"/>
        <v/>
      </c>
      <c r="AW72" s="132" t="str">
        <f t="shared" ca="1" si="40"/>
        <v/>
      </c>
      <c r="AX72" s="132" t="str">
        <f t="shared" ca="1" si="40"/>
        <v/>
      </c>
      <c r="AY72" s="114"/>
    </row>
    <row r="73" spans="3:51" ht="14.45">
      <c r="C73" s="84" t="s">
        <v>537</v>
      </c>
      <c r="D73" s="683">
        <f>1500*12</f>
        <v>18000</v>
      </c>
      <c r="E73" s="102" t="s">
        <v>536</v>
      </c>
      <c r="F73" s="610">
        <v>6</v>
      </c>
      <c r="G73" s="437" t="s">
        <v>405</v>
      </c>
      <c r="H73" s="79"/>
      <c r="I73" s="109">
        <f ca="1">(F73/12)*((SUM(I45,I54,I58:I71,I74:I79)*M45*M46)+(M52*M53)+(D73))</f>
        <v>30610.497124999998</v>
      </c>
      <c r="J73" s="159">
        <f ca="1">I73/$G$38</f>
        <v>30610.497124999998</v>
      </c>
      <c r="K73" s="160"/>
      <c r="L73" s="222" t="s">
        <v>435</v>
      </c>
      <c r="M73" s="394"/>
      <c r="N73" s="189"/>
      <c r="O73" s="189"/>
      <c r="P73" s="190"/>
      <c r="R73" s="273"/>
      <c r="S73"/>
      <c r="T73" s="326">
        <v>7</v>
      </c>
      <c r="U73" s="132" t="str">
        <f t="shared" ca="1" si="40"/>
        <v/>
      </c>
      <c r="V73" s="132" t="str">
        <f t="shared" ca="1" si="40"/>
        <v/>
      </c>
      <c r="W73" s="132" t="str">
        <f t="shared" ca="1" si="40"/>
        <v/>
      </c>
      <c r="X73" s="132" t="str">
        <f t="shared" ca="1" si="40"/>
        <v/>
      </c>
      <c r="Y73" s="132" t="str">
        <f t="shared" ca="1" si="40"/>
        <v/>
      </c>
      <c r="Z73" s="431" t="str">
        <f t="shared" ca="1" si="40"/>
        <v/>
      </c>
      <c r="AA73" s="132" t="str">
        <f t="shared" ca="1" si="40"/>
        <v/>
      </c>
      <c r="AB73" s="132" t="str">
        <f t="shared" ca="1" si="40"/>
        <v/>
      </c>
      <c r="AC73" s="132">
        <f t="shared" ca="1" si="40"/>
        <v>155000</v>
      </c>
      <c r="AD73" s="132" t="str">
        <f t="shared" ca="1" si="40"/>
        <v/>
      </c>
      <c r="AE73" s="132" t="str">
        <f t="shared" ca="1" si="40"/>
        <v/>
      </c>
      <c r="AF73" s="431" t="str">
        <f t="shared" ca="1" si="40"/>
        <v/>
      </c>
      <c r="AG73" s="132" t="str">
        <f t="shared" ca="1" si="40"/>
        <v/>
      </c>
      <c r="AH73" s="132" t="str">
        <f t="shared" ca="1" si="40"/>
        <v/>
      </c>
      <c r="AI73" s="132" t="str">
        <f t="shared" ca="1" si="40"/>
        <v/>
      </c>
      <c r="AJ73" s="132" t="str">
        <f t="shared" ca="1" si="40"/>
        <v/>
      </c>
      <c r="AK73" s="132" t="str">
        <f t="shared" ca="1" si="40"/>
        <v/>
      </c>
      <c r="AL73" s="431" t="str">
        <f t="shared" ca="1" si="40"/>
        <v/>
      </c>
      <c r="AM73" s="132" t="str">
        <f t="shared" ca="1" si="40"/>
        <v/>
      </c>
      <c r="AN73" s="132" t="str">
        <f t="shared" ca="1" si="40"/>
        <v/>
      </c>
      <c r="AO73" s="132" t="str">
        <f t="shared" ca="1" si="40"/>
        <v/>
      </c>
      <c r="AP73" s="132" t="str">
        <f t="shared" ca="1" si="40"/>
        <v/>
      </c>
      <c r="AQ73" s="132" t="str">
        <f t="shared" ca="1" si="40"/>
        <v/>
      </c>
      <c r="AR73" s="431" t="str">
        <f t="shared" ca="1" si="40"/>
        <v/>
      </c>
      <c r="AS73" s="132" t="str">
        <f t="shared" ca="1" si="40"/>
        <v/>
      </c>
      <c r="AT73" s="132" t="str">
        <f t="shared" ca="1" si="40"/>
        <v/>
      </c>
      <c r="AU73" s="132" t="str">
        <f t="shared" ca="1" si="40"/>
        <v/>
      </c>
      <c r="AV73" s="132" t="str">
        <f t="shared" ca="1" si="40"/>
        <v/>
      </c>
      <c r="AW73" s="132" t="str">
        <f t="shared" ca="1" si="40"/>
        <v/>
      </c>
      <c r="AX73" s="132" t="str">
        <f t="shared" ca="1" si="40"/>
        <v/>
      </c>
      <c r="AY73" s="114"/>
    </row>
    <row r="74" spans="3:51" ht="15" thickBot="1">
      <c r="D74" s="585"/>
      <c r="E74"/>
      <c r="F74"/>
      <c r="G74" s="437" t="s">
        <v>407</v>
      </c>
      <c r="H74" s="79"/>
      <c r="I74" s="603">
        <v>0</v>
      </c>
      <c r="J74" s="159">
        <f t="shared" ca="1" si="38"/>
        <v>0</v>
      </c>
      <c r="K74" s="177"/>
      <c r="L74" s="62" t="s">
        <v>222</v>
      </c>
      <c r="M74" s="392">
        <f ca="1">IF(ISBLANK(OFFSET(M74,0,$P$41)),$N74,OFFSET(M74,0,$P$41))</f>
        <v>0</v>
      </c>
      <c r="N74" s="643"/>
      <c r="O74" s="644">
        <v>400000</v>
      </c>
      <c r="P74" s="645"/>
      <c r="R74" s="273"/>
      <c r="S74"/>
      <c r="T74" s="326">
        <v>10</v>
      </c>
      <c r="U74" s="132" t="str">
        <f t="shared" ca="1" si="40"/>
        <v/>
      </c>
      <c r="V74" s="132" t="str">
        <f t="shared" ca="1" si="40"/>
        <v/>
      </c>
      <c r="W74" s="132" t="str">
        <f t="shared" ca="1" si="40"/>
        <v/>
      </c>
      <c r="X74" s="132" t="str">
        <f t="shared" ca="1" si="40"/>
        <v/>
      </c>
      <c r="Y74" s="132" t="str">
        <f t="shared" ca="1" si="40"/>
        <v/>
      </c>
      <c r="Z74" s="431" t="str">
        <f t="shared" ca="1" si="40"/>
        <v/>
      </c>
      <c r="AA74" s="132" t="str">
        <f t="shared" ca="1" si="40"/>
        <v/>
      </c>
      <c r="AB74" s="132" t="str">
        <f t="shared" ca="1" si="40"/>
        <v/>
      </c>
      <c r="AC74" s="132">
        <f t="shared" ca="1" si="40"/>
        <v>197400</v>
      </c>
      <c r="AD74" s="132" t="str">
        <f t="shared" ca="1" si="40"/>
        <v/>
      </c>
      <c r="AE74" s="132" t="str">
        <f t="shared" ca="1" si="40"/>
        <v/>
      </c>
      <c r="AF74" s="431" t="str">
        <f t="shared" ca="1" si="40"/>
        <v/>
      </c>
      <c r="AG74" s="132" t="str">
        <f t="shared" ca="1" si="40"/>
        <v/>
      </c>
      <c r="AH74" s="132" t="str">
        <f t="shared" ca="1" si="40"/>
        <v/>
      </c>
      <c r="AI74" s="132" t="str">
        <f t="shared" ca="1" si="40"/>
        <v/>
      </c>
      <c r="AJ74" s="132" t="str">
        <f t="shared" ca="1" si="40"/>
        <v/>
      </c>
      <c r="AK74" s="132" t="str">
        <f t="shared" ca="1" si="40"/>
        <v/>
      </c>
      <c r="AL74" s="431" t="str">
        <f t="shared" ca="1" si="40"/>
        <v/>
      </c>
      <c r="AM74" s="132" t="str">
        <f t="shared" ca="1" si="40"/>
        <v/>
      </c>
      <c r="AN74" s="132" t="str">
        <f t="shared" ca="1" si="40"/>
        <v/>
      </c>
      <c r="AO74" s="132" t="str">
        <f t="shared" ca="1" si="40"/>
        <v/>
      </c>
      <c r="AP74" s="132" t="str">
        <f t="shared" ca="1" si="40"/>
        <v/>
      </c>
      <c r="AQ74" s="132" t="str">
        <f t="shared" ca="1" si="40"/>
        <v/>
      </c>
      <c r="AR74" s="431" t="str">
        <f t="shared" ca="1" si="40"/>
        <v/>
      </c>
      <c r="AS74" s="132" t="str">
        <f t="shared" ca="1" si="40"/>
        <v/>
      </c>
      <c r="AT74" s="132" t="str">
        <f t="shared" ca="1" si="40"/>
        <v/>
      </c>
      <c r="AU74" s="132" t="str">
        <f t="shared" ca="1" si="40"/>
        <v/>
      </c>
      <c r="AV74" s="132" t="str">
        <f t="shared" ca="1" si="40"/>
        <v/>
      </c>
      <c r="AW74" s="132" t="str">
        <f t="shared" ca="1" si="40"/>
        <v/>
      </c>
      <c r="AX74" s="132" t="str">
        <f t="shared" ca="1" si="40"/>
        <v/>
      </c>
      <c r="AY74" s="114"/>
    </row>
    <row r="75" spans="3:51" ht="14.45">
      <c r="C75" s="441" t="s">
        <v>409</v>
      </c>
      <c r="G75" s="437" t="s">
        <v>410</v>
      </c>
      <c r="H75" s="79"/>
      <c r="I75" s="671">
        <v>5000</v>
      </c>
      <c r="J75" s="370">
        <f t="shared" ca="1" si="38"/>
        <v>5000</v>
      </c>
      <c r="L75" s="15"/>
      <c r="M75" s="80"/>
      <c r="N75" s="14"/>
      <c r="O75" s="166"/>
      <c r="P75" s="229"/>
      <c r="R75" s="273"/>
      <c r="S75"/>
      <c r="T75" s="326">
        <v>15</v>
      </c>
      <c r="U75" s="132" t="str">
        <f t="shared" ca="1" si="40"/>
        <v/>
      </c>
      <c r="V75" s="132" t="str">
        <f t="shared" ca="1" si="40"/>
        <v/>
      </c>
      <c r="W75" s="132" t="str">
        <f t="shared" ca="1" si="40"/>
        <v/>
      </c>
      <c r="X75" s="132" t="str">
        <f t="shared" ca="1" si="40"/>
        <v/>
      </c>
      <c r="Y75" s="132" t="str">
        <f t="shared" ca="1" si="40"/>
        <v/>
      </c>
      <c r="Z75" s="431" t="str">
        <f t="shared" ca="1" si="40"/>
        <v/>
      </c>
      <c r="AA75" s="132" t="str">
        <f t="shared" ca="1" si="40"/>
        <v/>
      </c>
      <c r="AB75" s="132" t="str">
        <f t="shared" ca="1" si="40"/>
        <v/>
      </c>
      <c r="AC75" s="132">
        <f t="shared" ca="1" si="40"/>
        <v>279100</v>
      </c>
      <c r="AD75" s="132" t="str">
        <f t="shared" ca="1" si="40"/>
        <v/>
      </c>
      <c r="AE75" s="132" t="str">
        <f t="shared" ca="1" si="40"/>
        <v/>
      </c>
      <c r="AF75" s="431" t="str">
        <f t="shared" ca="1" si="40"/>
        <v/>
      </c>
      <c r="AG75" s="132" t="str">
        <f t="shared" ca="1" si="40"/>
        <v/>
      </c>
      <c r="AH75" s="132" t="str">
        <f t="shared" ca="1" si="40"/>
        <v/>
      </c>
      <c r="AI75" s="132" t="str">
        <f t="shared" ca="1" si="40"/>
        <v/>
      </c>
      <c r="AJ75" s="132" t="str">
        <f t="shared" ca="1" si="40"/>
        <v/>
      </c>
      <c r="AK75" s="132" t="str">
        <f t="shared" ca="1" si="40"/>
        <v/>
      </c>
      <c r="AL75" s="431" t="str">
        <f t="shared" ca="1" si="40"/>
        <v/>
      </c>
      <c r="AM75" s="132" t="str">
        <f t="shared" ca="1" si="40"/>
        <v/>
      </c>
      <c r="AN75" s="132" t="str">
        <f t="shared" ca="1" si="40"/>
        <v/>
      </c>
      <c r="AO75" s="132" t="str">
        <f t="shared" ca="1" si="40"/>
        <v/>
      </c>
      <c r="AP75" s="132" t="str">
        <f t="shared" ca="1" si="40"/>
        <v/>
      </c>
      <c r="AQ75" s="132" t="str">
        <f t="shared" ca="1" si="40"/>
        <v/>
      </c>
      <c r="AR75" s="431" t="str">
        <f t="shared" ca="1" si="40"/>
        <v/>
      </c>
      <c r="AS75" s="132" t="str">
        <f t="shared" ca="1" si="40"/>
        <v/>
      </c>
      <c r="AT75" s="132" t="str">
        <f t="shared" ca="1" si="40"/>
        <v/>
      </c>
      <c r="AU75" s="132" t="str">
        <f t="shared" ca="1" si="40"/>
        <v/>
      </c>
      <c r="AV75" s="132" t="str">
        <f t="shared" ca="1" si="40"/>
        <v/>
      </c>
      <c r="AW75" s="132" t="str">
        <f t="shared" ca="1" si="40"/>
        <v/>
      </c>
      <c r="AX75" s="132" t="str">
        <f t="shared" ca="1" si="40"/>
        <v/>
      </c>
      <c r="AY75" s="114"/>
    </row>
    <row r="76" spans="3:51" ht="15" thickBot="1">
      <c r="C76" s="205" t="s">
        <v>411</v>
      </c>
      <c r="G76" s="437" t="s">
        <v>228</v>
      </c>
      <c r="H76" s="79"/>
      <c r="I76" s="603">
        <v>4000</v>
      </c>
      <c r="J76" s="159">
        <f t="shared" ca="1" si="38"/>
        <v>4000</v>
      </c>
      <c r="L76" s="15"/>
      <c r="M76" s="80"/>
      <c r="N76" s="14"/>
      <c r="O76" s="166"/>
      <c r="P76" s="215"/>
      <c r="R76" s="273"/>
      <c r="S76"/>
      <c r="T76" s="326">
        <v>20</v>
      </c>
      <c r="U76" s="132" t="str">
        <f t="shared" ca="1" si="40"/>
        <v/>
      </c>
      <c r="V76" s="132" t="str">
        <f t="shared" ca="1" si="40"/>
        <v/>
      </c>
      <c r="W76" s="132" t="str">
        <f t="shared" ca="1" si="40"/>
        <v/>
      </c>
      <c r="X76" s="132" t="str">
        <f t="shared" ca="1" si="40"/>
        <v/>
      </c>
      <c r="Y76" s="132" t="str">
        <f t="shared" ca="1" si="40"/>
        <v/>
      </c>
      <c r="Z76" s="431" t="str">
        <f t="shared" ca="1" si="40"/>
        <v/>
      </c>
      <c r="AA76" s="132" t="str">
        <f t="shared" ca="1" si="40"/>
        <v/>
      </c>
      <c r="AB76" s="132" t="str">
        <f t="shared" ca="1" si="40"/>
        <v/>
      </c>
      <c r="AC76" s="132">
        <f t="shared" ca="1" si="40"/>
        <v>378200</v>
      </c>
      <c r="AD76" s="132" t="str">
        <f t="shared" ca="1" si="40"/>
        <v/>
      </c>
      <c r="AE76" s="132" t="str">
        <f t="shared" ca="1" si="40"/>
        <v/>
      </c>
      <c r="AF76" s="431" t="str">
        <f t="shared" ca="1" si="40"/>
        <v/>
      </c>
      <c r="AG76" s="132" t="str">
        <f t="shared" ca="1" si="40"/>
        <v/>
      </c>
      <c r="AH76" s="132" t="str">
        <f t="shared" ca="1" si="40"/>
        <v/>
      </c>
      <c r="AI76" s="132" t="str">
        <f t="shared" ca="1" si="40"/>
        <v/>
      </c>
      <c r="AJ76" s="132" t="str">
        <f t="shared" ca="1" si="40"/>
        <v/>
      </c>
      <c r="AK76" s="132" t="str">
        <f t="shared" ca="1" si="40"/>
        <v/>
      </c>
      <c r="AL76" s="431" t="str">
        <f t="shared" ca="1" si="40"/>
        <v/>
      </c>
      <c r="AM76" s="132" t="str">
        <f t="shared" ca="1" si="40"/>
        <v/>
      </c>
      <c r="AN76" s="132" t="str">
        <f t="shared" ca="1" si="40"/>
        <v/>
      </c>
      <c r="AO76" s="132" t="str">
        <f t="shared" ca="1" si="40"/>
        <v/>
      </c>
      <c r="AP76" s="132" t="str">
        <f t="shared" ca="1" si="40"/>
        <v/>
      </c>
      <c r="AQ76" s="132" t="str">
        <f t="shared" ca="1" si="40"/>
        <v/>
      </c>
      <c r="AR76" s="431" t="str">
        <f t="shared" ca="1" si="40"/>
        <v/>
      </c>
      <c r="AS76" s="132" t="str">
        <f t="shared" ca="1" si="40"/>
        <v/>
      </c>
      <c r="AT76" s="132" t="str">
        <f t="shared" ca="1" si="40"/>
        <v/>
      </c>
      <c r="AU76" s="132" t="str">
        <f t="shared" ca="1" si="40"/>
        <v/>
      </c>
      <c r="AV76" s="132" t="str">
        <f t="shared" ca="1" si="40"/>
        <v/>
      </c>
      <c r="AW76" s="132" t="str">
        <f t="shared" ca="1" si="40"/>
        <v/>
      </c>
      <c r="AX76" s="132" t="str">
        <f t="shared" ca="1" si="40"/>
        <v/>
      </c>
      <c r="AY76" s="114"/>
    </row>
    <row r="77" spans="3:51" ht="14.45">
      <c r="C77" s="205" t="s">
        <v>412</v>
      </c>
      <c r="G77" s="437" t="s">
        <v>413</v>
      </c>
      <c r="H77" s="79"/>
      <c r="I77" s="603">
        <v>0</v>
      </c>
      <c r="J77" s="159">
        <f t="shared" ca="1" si="38"/>
        <v>0</v>
      </c>
      <c r="L77" s="222" t="s">
        <v>436</v>
      </c>
      <c r="M77" s="394"/>
      <c r="N77" s="235"/>
      <c r="O77" s="13"/>
      <c r="P77" s="165"/>
      <c r="R77" s="273"/>
      <c r="S77"/>
      <c r="T77" s="270"/>
      <c r="Z77" s="429"/>
      <c r="AF77" s="429"/>
      <c r="AL77" s="429"/>
      <c r="AR77" s="429"/>
      <c r="AY77" s="114"/>
    </row>
    <row r="78" spans="3:51" ht="31.9" thickBot="1">
      <c r="C78" s="102" t="s">
        <v>415</v>
      </c>
      <c r="D78" s="611">
        <v>0.2</v>
      </c>
      <c r="E78" s="102" t="s">
        <v>538</v>
      </c>
      <c r="F78" s="609" t="s">
        <v>539</v>
      </c>
      <c r="G78" s="437" t="s">
        <v>417</v>
      </c>
      <c r="H78" s="79"/>
      <c r="I78" s="109">
        <f ca="1">IF(F78="flat",D78*I54,D79+(D80*G38))</f>
        <v>12877.02</v>
      </c>
      <c r="J78" s="159">
        <f t="shared" ca="1" si="38"/>
        <v>12877.02</v>
      </c>
      <c r="L78" s="62" t="s">
        <v>222</v>
      </c>
      <c r="M78" s="392">
        <f ca="1">IF(ISBLANK(OFFSET(M78,0,$P$41)),$N78,OFFSET(M78,0,$P$41))</f>
        <v>0</v>
      </c>
      <c r="N78" s="643"/>
      <c r="O78" s="644"/>
      <c r="P78" s="645"/>
      <c r="R78" s="273"/>
      <c r="S78" s="689">
        <v>0.03</v>
      </c>
      <c r="T78" s="321" t="s">
        <v>540</v>
      </c>
      <c r="Z78" s="429"/>
      <c r="AF78" s="429"/>
      <c r="AL78" s="429"/>
      <c r="AR78" s="429"/>
      <c r="AY78" s="114"/>
    </row>
    <row r="79" spans="3:51" ht="14.45">
      <c r="C79" s="102" t="s">
        <v>418</v>
      </c>
      <c r="D79" s="605">
        <v>50000</v>
      </c>
      <c r="G79" s="438" t="s">
        <v>419</v>
      </c>
      <c r="H79" s="173"/>
      <c r="I79" s="604">
        <v>10000</v>
      </c>
      <c r="J79" s="174">
        <f t="shared" ca="1" si="38"/>
        <v>10000</v>
      </c>
      <c r="N79" s="151"/>
      <c r="O79" s="151"/>
      <c r="R79" s="273"/>
      <c r="S79"/>
      <c r="T79" s="323" t="s">
        <v>541</v>
      </c>
      <c r="U79" s="366" t="str">
        <f ca="1">IF(_xlfn.XLOOKUP(U33,$K$8:$K$37,$G$8:$G$37)&gt;0,U34,"")</f>
        <v/>
      </c>
      <c r="V79" s="366" t="str">
        <f t="shared" ref="V79:AX79" ca="1" si="41">IF(_xlfn.XLOOKUP(V33,$K$8:$K$37,$G$8:$G$37)&gt;0,V34,"")</f>
        <v/>
      </c>
      <c r="W79" s="366" t="str">
        <f t="shared" ca="1" si="41"/>
        <v/>
      </c>
      <c r="X79" s="366" t="str">
        <f t="shared" ca="1" si="41"/>
        <v/>
      </c>
      <c r="Y79" s="366" t="str">
        <f t="shared" ca="1" si="41"/>
        <v/>
      </c>
      <c r="Z79" s="436" t="str">
        <f t="shared" ca="1" si="41"/>
        <v/>
      </c>
      <c r="AA79" s="366" t="str">
        <f t="shared" ca="1" si="41"/>
        <v/>
      </c>
      <c r="AB79" s="366" t="str">
        <f t="shared" ca="1" si="41"/>
        <v/>
      </c>
      <c r="AC79" s="366">
        <f t="shared" ca="1" si="41"/>
        <v>0.8</v>
      </c>
      <c r="AD79" s="366" t="str">
        <f t="shared" ca="1" si="41"/>
        <v/>
      </c>
      <c r="AE79" s="366" t="str">
        <f t="shared" ca="1" si="41"/>
        <v/>
      </c>
      <c r="AF79" s="436" t="str">
        <f t="shared" ca="1" si="41"/>
        <v/>
      </c>
      <c r="AG79" s="366" t="str">
        <f t="shared" ca="1" si="41"/>
        <v/>
      </c>
      <c r="AH79" s="366" t="str">
        <f t="shared" ca="1" si="41"/>
        <v/>
      </c>
      <c r="AI79" s="366" t="str">
        <f t="shared" ca="1" si="41"/>
        <v/>
      </c>
      <c r="AJ79" s="366" t="str">
        <f t="shared" ca="1" si="41"/>
        <v/>
      </c>
      <c r="AK79" s="366" t="str">
        <f t="shared" ca="1" si="41"/>
        <v/>
      </c>
      <c r="AL79" s="436" t="str">
        <f t="shared" ca="1" si="41"/>
        <v/>
      </c>
      <c r="AM79" s="366" t="str">
        <f t="shared" ca="1" si="41"/>
        <v/>
      </c>
      <c r="AN79" s="366" t="str">
        <f t="shared" ca="1" si="41"/>
        <v/>
      </c>
      <c r="AO79" s="366" t="str">
        <f t="shared" ca="1" si="41"/>
        <v/>
      </c>
      <c r="AP79" s="366" t="str">
        <f t="shared" ca="1" si="41"/>
        <v/>
      </c>
      <c r="AQ79" s="366" t="str">
        <f t="shared" ca="1" si="41"/>
        <v/>
      </c>
      <c r="AR79" s="436" t="str">
        <f t="shared" ca="1" si="41"/>
        <v/>
      </c>
      <c r="AS79" s="366" t="str">
        <f t="shared" ca="1" si="41"/>
        <v/>
      </c>
      <c r="AT79" s="366" t="str">
        <f t="shared" ca="1" si="41"/>
        <v/>
      </c>
      <c r="AU79" s="366" t="str">
        <f t="shared" ca="1" si="41"/>
        <v/>
      </c>
      <c r="AV79" s="366" t="str">
        <f t="shared" ca="1" si="41"/>
        <v/>
      </c>
      <c r="AW79" s="366" t="str">
        <f t="shared" ca="1" si="41"/>
        <v/>
      </c>
      <c r="AX79" s="366" t="str">
        <f t="shared" ca="1" si="41"/>
        <v/>
      </c>
      <c r="AY79" s="114"/>
    </row>
    <row r="80" spans="3:51" ht="14.45">
      <c r="C80" s="102" t="s">
        <v>421</v>
      </c>
      <c r="D80" s="612">
        <v>10000</v>
      </c>
      <c r="G80" s="54" t="s">
        <v>422</v>
      </c>
      <c r="H80" s="305"/>
      <c r="I80" s="306">
        <f ca="1">SUM(I58:I79)</f>
        <v>203837.51712499998</v>
      </c>
      <c r="J80" s="307">
        <f ca="1">SUM(J58:J79)</f>
        <v>203487.51712499998</v>
      </c>
      <c r="R80" s="273"/>
      <c r="S80"/>
      <c r="T80" s="326">
        <v>3</v>
      </c>
      <c r="U80" s="365" t="str">
        <f ca="1">IFERROR(U62/(U$61*(1+$S$78)^$T80)*U$34,"")</f>
        <v/>
      </c>
      <c r="V80" s="365" t="str">
        <f t="shared" ref="V80:AX80" ca="1" si="42">IFERROR(V62/(V$61*(1+$S$78)^$T80)*V$34,"")</f>
        <v/>
      </c>
      <c r="W80" s="365" t="str">
        <f t="shared" ca="1" si="42"/>
        <v/>
      </c>
      <c r="X80" s="365" t="str">
        <f t="shared" ca="1" si="42"/>
        <v/>
      </c>
      <c r="Y80" s="365" t="str">
        <f t="shared" ca="1" si="42"/>
        <v/>
      </c>
      <c r="Z80" s="365" t="str">
        <f t="shared" ca="1" si="42"/>
        <v/>
      </c>
      <c r="AA80" s="365" t="str">
        <f t="shared" ca="1" si="42"/>
        <v/>
      </c>
      <c r="AB80" s="365" t="str">
        <f t="shared" ca="1" si="42"/>
        <v/>
      </c>
      <c r="AC80" s="365">
        <f t="shared" ca="1" si="42"/>
        <v>0.777020537018969</v>
      </c>
      <c r="AD80" s="365" t="str">
        <f t="shared" ca="1" si="42"/>
        <v/>
      </c>
      <c r="AE80" s="365" t="str">
        <f t="shared" ca="1" si="42"/>
        <v/>
      </c>
      <c r="AF80" s="365" t="str">
        <f t="shared" ca="1" si="42"/>
        <v/>
      </c>
      <c r="AG80" s="365" t="str">
        <f t="shared" ca="1" si="42"/>
        <v/>
      </c>
      <c r="AH80" s="365" t="str">
        <f t="shared" ca="1" si="42"/>
        <v/>
      </c>
      <c r="AI80" s="365" t="str">
        <f t="shared" ca="1" si="42"/>
        <v/>
      </c>
      <c r="AJ80" s="365" t="str">
        <f t="shared" ca="1" si="42"/>
        <v/>
      </c>
      <c r="AK80" s="365" t="str">
        <f t="shared" ca="1" si="42"/>
        <v/>
      </c>
      <c r="AL80" s="365" t="str">
        <f t="shared" ca="1" si="42"/>
        <v/>
      </c>
      <c r="AM80" s="365" t="str">
        <f t="shared" ca="1" si="42"/>
        <v/>
      </c>
      <c r="AN80" s="365" t="str">
        <f t="shared" ca="1" si="42"/>
        <v/>
      </c>
      <c r="AO80" s="365" t="str">
        <f t="shared" ca="1" si="42"/>
        <v/>
      </c>
      <c r="AP80" s="365" t="str">
        <f t="shared" ca="1" si="42"/>
        <v/>
      </c>
      <c r="AQ80" s="365" t="str">
        <f t="shared" ca="1" si="42"/>
        <v/>
      </c>
      <c r="AR80" s="365" t="str">
        <f t="shared" ca="1" si="42"/>
        <v/>
      </c>
      <c r="AS80" s="365" t="str">
        <f t="shared" ca="1" si="42"/>
        <v/>
      </c>
      <c r="AT80" s="365" t="str">
        <f t="shared" ca="1" si="42"/>
        <v/>
      </c>
      <c r="AU80" s="365" t="str">
        <f t="shared" ca="1" si="42"/>
        <v/>
      </c>
      <c r="AV80" s="365" t="str">
        <f t="shared" ca="1" si="42"/>
        <v/>
      </c>
      <c r="AW80" s="365" t="str">
        <f t="shared" ca="1" si="42"/>
        <v/>
      </c>
      <c r="AX80" s="365" t="str">
        <f t="shared" ca="1" si="42"/>
        <v/>
      </c>
      <c r="AY80" s="114"/>
    </row>
    <row r="81" spans="7:51" ht="14.45">
      <c r="G81" s="175"/>
      <c r="H81" s="176"/>
      <c r="I81" s="177"/>
      <c r="J81" s="198"/>
      <c r="R81" s="273"/>
      <c r="S81"/>
      <c r="T81" s="326">
        <v>5</v>
      </c>
      <c r="U81" s="365" t="str">
        <f t="shared" ref="U81:AX85" ca="1" si="43">IFERROR(U63/(U$61*(1+$S$78)^$T81)*U$34,"")</f>
        <v/>
      </c>
      <c r="V81" s="365" t="str">
        <f t="shared" ca="1" si="43"/>
        <v/>
      </c>
      <c r="W81" s="365" t="str">
        <f t="shared" ca="1" si="43"/>
        <v/>
      </c>
      <c r="X81" s="365" t="str">
        <f t="shared" ca="1" si="43"/>
        <v/>
      </c>
      <c r="Y81" s="365" t="str">
        <f t="shared" ca="1" si="43"/>
        <v/>
      </c>
      <c r="Z81" s="365" t="str">
        <f t="shared" ca="1" si="43"/>
        <v/>
      </c>
      <c r="AA81" s="365" t="str">
        <f t="shared" ca="1" si="43"/>
        <v/>
      </c>
      <c r="AB81" s="365" t="str">
        <f t="shared" ca="1" si="43"/>
        <v/>
      </c>
      <c r="AC81" s="365">
        <f t="shared" ca="1" si="43"/>
        <v>0.76185155315148234</v>
      </c>
      <c r="AD81" s="365" t="str">
        <f t="shared" ca="1" si="43"/>
        <v/>
      </c>
      <c r="AE81" s="365" t="str">
        <f t="shared" ca="1" si="43"/>
        <v/>
      </c>
      <c r="AF81" s="365" t="str">
        <f t="shared" ca="1" si="43"/>
        <v/>
      </c>
      <c r="AG81" s="365" t="str">
        <f t="shared" ca="1" si="43"/>
        <v/>
      </c>
      <c r="AH81" s="365" t="str">
        <f t="shared" ca="1" si="43"/>
        <v/>
      </c>
      <c r="AI81" s="365" t="str">
        <f t="shared" ca="1" si="43"/>
        <v/>
      </c>
      <c r="AJ81" s="365" t="str">
        <f t="shared" ca="1" si="43"/>
        <v/>
      </c>
      <c r="AK81" s="365" t="str">
        <f t="shared" ca="1" si="43"/>
        <v/>
      </c>
      <c r="AL81" s="365" t="str">
        <f t="shared" ca="1" si="43"/>
        <v/>
      </c>
      <c r="AM81" s="365" t="str">
        <f t="shared" ca="1" si="43"/>
        <v/>
      </c>
      <c r="AN81" s="365" t="str">
        <f t="shared" ca="1" si="43"/>
        <v/>
      </c>
      <c r="AO81" s="365" t="str">
        <f t="shared" ca="1" si="43"/>
        <v/>
      </c>
      <c r="AP81" s="365" t="str">
        <f t="shared" ca="1" si="43"/>
        <v/>
      </c>
      <c r="AQ81" s="365" t="str">
        <f t="shared" ca="1" si="43"/>
        <v/>
      </c>
      <c r="AR81" s="365" t="str">
        <f t="shared" ca="1" si="43"/>
        <v/>
      </c>
      <c r="AS81" s="365" t="str">
        <f t="shared" ca="1" si="43"/>
        <v/>
      </c>
      <c r="AT81" s="365" t="str">
        <f t="shared" ca="1" si="43"/>
        <v/>
      </c>
      <c r="AU81" s="365" t="str">
        <f t="shared" ca="1" si="43"/>
        <v/>
      </c>
      <c r="AV81" s="365" t="str">
        <f t="shared" ca="1" si="43"/>
        <v/>
      </c>
      <c r="AW81" s="365" t="str">
        <f t="shared" ca="1" si="43"/>
        <v/>
      </c>
      <c r="AX81" s="365" t="str">
        <f t="shared" ca="1" si="43"/>
        <v/>
      </c>
      <c r="AY81" s="114"/>
    </row>
    <row r="82" spans="7:51" ht="14.45">
      <c r="G82" s="181" t="s">
        <v>449</v>
      </c>
      <c r="H82" s="176"/>
      <c r="I82" s="179"/>
      <c r="J82" s="159"/>
      <c r="P82" s="56"/>
      <c r="R82" s="273"/>
      <c r="S82"/>
      <c r="T82" s="326">
        <v>7</v>
      </c>
      <c r="U82" s="365" t="str">
        <f t="shared" ca="1" si="43"/>
        <v/>
      </c>
      <c r="V82" s="365" t="str">
        <f t="shared" ca="1" si="43"/>
        <v/>
      </c>
      <c r="W82" s="365" t="str">
        <f t="shared" ca="1" si="43"/>
        <v/>
      </c>
      <c r="X82" s="365" t="str">
        <f t="shared" ca="1" si="43"/>
        <v/>
      </c>
      <c r="Y82" s="365" t="str">
        <f t="shared" ca="1" si="43"/>
        <v/>
      </c>
      <c r="Z82" s="365" t="str">
        <f t="shared" ca="1" si="43"/>
        <v/>
      </c>
      <c r="AA82" s="365" t="str">
        <f t="shared" ca="1" si="43"/>
        <v/>
      </c>
      <c r="AB82" s="365" t="str">
        <f t="shared" ca="1" si="43"/>
        <v/>
      </c>
      <c r="AC82" s="365">
        <f t="shared" ca="1" si="43"/>
        <v>0.74713303241294726</v>
      </c>
      <c r="AD82" s="365" t="str">
        <f t="shared" ca="1" si="43"/>
        <v/>
      </c>
      <c r="AE82" s="365" t="str">
        <f t="shared" ca="1" si="43"/>
        <v/>
      </c>
      <c r="AF82" s="365" t="str">
        <f t="shared" ca="1" si="43"/>
        <v/>
      </c>
      <c r="AG82" s="365" t="str">
        <f t="shared" ca="1" si="43"/>
        <v/>
      </c>
      <c r="AH82" s="365" t="str">
        <f t="shared" ca="1" si="43"/>
        <v/>
      </c>
      <c r="AI82" s="365" t="str">
        <f t="shared" ca="1" si="43"/>
        <v/>
      </c>
      <c r="AJ82" s="365" t="str">
        <f t="shared" ca="1" si="43"/>
        <v/>
      </c>
      <c r="AK82" s="365" t="str">
        <f t="shared" ca="1" si="43"/>
        <v/>
      </c>
      <c r="AL82" s="365" t="str">
        <f t="shared" ca="1" si="43"/>
        <v/>
      </c>
      <c r="AM82" s="365" t="str">
        <f t="shared" ca="1" si="43"/>
        <v/>
      </c>
      <c r="AN82" s="365" t="str">
        <f t="shared" ca="1" si="43"/>
        <v/>
      </c>
      <c r="AO82" s="365" t="str">
        <f t="shared" ca="1" si="43"/>
        <v/>
      </c>
      <c r="AP82" s="365" t="str">
        <f t="shared" ca="1" si="43"/>
        <v/>
      </c>
      <c r="AQ82" s="365" t="str">
        <f t="shared" ca="1" si="43"/>
        <v/>
      </c>
      <c r="AR82" s="365" t="str">
        <f t="shared" ca="1" si="43"/>
        <v/>
      </c>
      <c r="AS82" s="365" t="str">
        <f t="shared" ca="1" si="43"/>
        <v/>
      </c>
      <c r="AT82" s="365" t="str">
        <f t="shared" ca="1" si="43"/>
        <v/>
      </c>
      <c r="AU82" s="365" t="str">
        <f t="shared" ca="1" si="43"/>
        <v/>
      </c>
      <c r="AV82" s="365" t="str">
        <f t="shared" ca="1" si="43"/>
        <v/>
      </c>
      <c r="AW82" s="365" t="str">
        <f t="shared" ca="1" si="43"/>
        <v/>
      </c>
      <c r="AX82" s="365" t="str">
        <f t="shared" ca="1" si="43"/>
        <v/>
      </c>
      <c r="AY82" s="114"/>
    </row>
    <row r="83" spans="7:51" ht="14.45">
      <c r="G83" s="28" t="s">
        <v>474</v>
      </c>
      <c r="H83" s="79"/>
      <c r="I83" s="603">
        <v>7000</v>
      </c>
      <c r="J83" s="159">
        <f ca="1">I83/$G$38</f>
        <v>7000</v>
      </c>
      <c r="R83" s="273"/>
      <c r="S83"/>
      <c r="T83" s="326">
        <v>10</v>
      </c>
      <c r="U83" s="365" t="str">
        <f t="shared" ca="1" si="43"/>
        <v/>
      </c>
      <c r="V83" s="365" t="str">
        <f t="shared" ca="1" si="43"/>
        <v/>
      </c>
      <c r="W83" s="365" t="str">
        <f t="shared" ca="1" si="43"/>
        <v/>
      </c>
      <c r="X83" s="365" t="str">
        <f t="shared" ca="1" si="43"/>
        <v/>
      </c>
      <c r="Y83" s="365" t="str">
        <f t="shared" ca="1" si="43"/>
        <v/>
      </c>
      <c r="Z83" s="365" t="str">
        <f t="shared" ca="1" si="43"/>
        <v/>
      </c>
      <c r="AA83" s="365" t="str">
        <f t="shared" ca="1" si="43"/>
        <v/>
      </c>
      <c r="AB83" s="365" t="str">
        <f t="shared" ca="1" si="43"/>
        <v/>
      </c>
      <c r="AC83" s="365">
        <f t="shared" ca="1" si="43"/>
        <v>0.7257190529547739</v>
      </c>
      <c r="AD83" s="365" t="str">
        <f t="shared" ca="1" si="43"/>
        <v/>
      </c>
      <c r="AE83" s="365" t="str">
        <f t="shared" ca="1" si="43"/>
        <v/>
      </c>
      <c r="AF83" s="365" t="str">
        <f t="shared" ca="1" si="43"/>
        <v/>
      </c>
      <c r="AG83" s="365" t="str">
        <f t="shared" ca="1" si="43"/>
        <v/>
      </c>
      <c r="AH83" s="365" t="str">
        <f t="shared" ca="1" si="43"/>
        <v/>
      </c>
      <c r="AI83" s="365" t="str">
        <f t="shared" ca="1" si="43"/>
        <v/>
      </c>
      <c r="AJ83" s="365" t="str">
        <f t="shared" ca="1" si="43"/>
        <v/>
      </c>
      <c r="AK83" s="365" t="str">
        <f t="shared" ca="1" si="43"/>
        <v/>
      </c>
      <c r="AL83" s="365" t="str">
        <f t="shared" ca="1" si="43"/>
        <v/>
      </c>
      <c r="AM83" s="365" t="str">
        <f t="shared" ca="1" si="43"/>
        <v/>
      </c>
      <c r="AN83" s="365" t="str">
        <f t="shared" ca="1" si="43"/>
        <v/>
      </c>
      <c r="AO83" s="365" t="str">
        <f t="shared" ca="1" si="43"/>
        <v/>
      </c>
      <c r="AP83" s="365" t="str">
        <f t="shared" ca="1" si="43"/>
        <v/>
      </c>
      <c r="AQ83" s="365" t="str">
        <f t="shared" ca="1" si="43"/>
        <v/>
      </c>
      <c r="AR83" s="365" t="str">
        <f t="shared" ca="1" si="43"/>
        <v/>
      </c>
      <c r="AS83" s="365" t="str">
        <f t="shared" ca="1" si="43"/>
        <v/>
      </c>
      <c r="AT83" s="365" t="str">
        <f t="shared" ca="1" si="43"/>
        <v/>
      </c>
      <c r="AU83" s="365" t="str">
        <f t="shared" ca="1" si="43"/>
        <v/>
      </c>
      <c r="AV83" s="365" t="str">
        <f t="shared" ca="1" si="43"/>
        <v/>
      </c>
      <c r="AW83" s="365" t="str">
        <f t="shared" ca="1" si="43"/>
        <v/>
      </c>
      <c r="AX83" s="365" t="str">
        <f t="shared" ca="1" si="43"/>
        <v/>
      </c>
      <c r="AY83" s="114"/>
    </row>
    <row r="84" spans="7:51" ht="15" thickBot="1">
      <c r="G84" s="231" t="s">
        <v>475</v>
      </c>
      <c r="H84" s="232"/>
      <c r="I84" s="233">
        <f>I83</f>
        <v>7000</v>
      </c>
      <c r="J84" s="234">
        <f ca="1">J83</f>
        <v>7000</v>
      </c>
      <c r="R84" s="273"/>
      <c r="S84"/>
      <c r="T84" s="326">
        <v>15</v>
      </c>
      <c r="U84" s="365" t="str">
        <f t="shared" ca="1" si="43"/>
        <v/>
      </c>
      <c r="V84" s="365" t="str">
        <f t="shared" ca="1" si="43"/>
        <v/>
      </c>
      <c r="W84" s="365" t="str">
        <f t="shared" ca="1" si="43"/>
        <v/>
      </c>
      <c r="X84" s="365" t="str">
        <f t="shared" ca="1" si="43"/>
        <v/>
      </c>
      <c r="Y84" s="365" t="str">
        <f t="shared" ca="1" si="43"/>
        <v/>
      </c>
      <c r="Z84" s="365" t="str">
        <f t="shared" ca="1" si="43"/>
        <v/>
      </c>
      <c r="AA84" s="365" t="str">
        <f t="shared" ca="1" si="43"/>
        <v/>
      </c>
      <c r="AB84" s="365" t="str">
        <f t="shared" ca="1" si="43"/>
        <v/>
      </c>
      <c r="AC84" s="365">
        <f t="shared" ca="1" si="43"/>
        <v>0.69114661559479473</v>
      </c>
      <c r="AD84" s="365" t="str">
        <f t="shared" ca="1" si="43"/>
        <v/>
      </c>
      <c r="AE84" s="365" t="str">
        <f t="shared" ca="1" si="43"/>
        <v/>
      </c>
      <c r="AF84" s="365" t="str">
        <f t="shared" ca="1" si="43"/>
        <v/>
      </c>
      <c r="AG84" s="365" t="str">
        <f t="shared" ca="1" si="43"/>
        <v/>
      </c>
      <c r="AH84" s="365" t="str">
        <f t="shared" ca="1" si="43"/>
        <v/>
      </c>
      <c r="AI84" s="365" t="str">
        <f t="shared" ca="1" si="43"/>
        <v/>
      </c>
      <c r="AJ84" s="365" t="str">
        <f t="shared" ca="1" si="43"/>
        <v/>
      </c>
      <c r="AK84" s="365" t="str">
        <f t="shared" ca="1" si="43"/>
        <v/>
      </c>
      <c r="AL84" s="365" t="str">
        <f t="shared" ca="1" si="43"/>
        <v/>
      </c>
      <c r="AM84" s="365" t="str">
        <f t="shared" ca="1" si="43"/>
        <v/>
      </c>
      <c r="AN84" s="365" t="str">
        <f t="shared" ca="1" si="43"/>
        <v/>
      </c>
      <c r="AO84" s="365" t="str">
        <f t="shared" ca="1" si="43"/>
        <v/>
      </c>
      <c r="AP84" s="365" t="str">
        <f t="shared" ca="1" si="43"/>
        <v/>
      </c>
      <c r="AQ84" s="365" t="str">
        <f t="shared" ca="1" si="43"/>
        <v/>
      </c>
      <c r="AR84" s="365" t="str">
        <f t="shared" ca="1" si="43"/>
        <v/>
      </c>
      <c r="AS84" s="365" t="str">
        <f t="shared" ca="1" si="43"/>
        <v/>
      </c>
      <c r="AT84" s="365" t="str">
        <f t="shared" ca="1" si="43"/>
        <v/>
      </c>
      <c r="AU84" s="365" t="str">
        <f t="shared" ca="1" si="43"/>
        <v/>
      </c>
      <c r="AV84" s="365" t="str">
        <f t="shared" ca="1" si="43"/>
        <v/>
      </c>
      <c r="AW84" s="365" t="str">
        <f t="shared" ca="1" si="43"/>
        <v/>
      </c>
      <c r="AX84" s="365" t="str">
        <f t="shared" ca="1" si="43"/>
        <v/>
      </c>
      <c r="AY84" s="114"/>
    </row>
    <row r="85" spans="7:51" ht="15" thickTop="1">
      <c r="G85" s="67"/>
      <c r="H85" s="51"/>
      <c r="I85" s="179"/>
      <c r="J85" s="159"/>
      <c r="R85" s="273"/>
      <c r="S85"/>
      <c r="T85" s="326">
        <v>20</v>
      </c>
      <c r="U85" s="365" t="str">
        <f t="shared" ca="1" si="43"/>
        <v/>
      </c>
      <c r="V85" s="365" t="str">
        <f t="shared" ca="1" si="43"/>
        <v/>
      </c>
      <c r="W85" s="365" t="str">
        <f t="shared" ca="1" si="43"/>
        <v/>
      </c>
      <c r="X85" s="365" t="str">
        <f t="shared" ca="1" si="43"/>
        <v/>
      </c>
      <c r="Y85" s="365" t="str">
        <f t="shared" ca="1" si="43"/>
        <v/>
      </c>
      <c r="Z85" s="365" t="str">
        <f t="shared" ca="1" si="43"/>
        <v/>
      </c>
      <c r="AA85" s="365" t="str">
        <f t="shared" ca="1" si="43"/>
        <v/>
      </c>
      <c r="AB85" s="365" t="str">
        <f t="shared" ca="1" si="43"/>
        <v/>
      </c>
      <c r="AC85" s="365">
        <f t="shared" ca="1" si="43"/>
        <v>0.65817898226540916</v>
      </c>
      <c r="AD85" s="365" t="str">
        <f t="shared" ca="1" si="43"/>
        <v/>
      </c>
      <c r="AE85" s="365" t="str">
        <f t="shared" ca="1" si="43"/>
        <v/>
      </c>
      <c r="AF85" s="365" t="str">
        <f t="shared" ca="1" si="43"/>
        <v/>
      </c>
      <c r="AG85" s="365" t="str">
        <f t="shared" ca="1" si="43"/>
        <v/>
      </c>
      <c r="AH85" s="365" t="str">
        <f t="shared" ca="1" si="43"/>
        <v/>
      </c>
      <c r="AI85" s="365" t="str">
        <f t="shared" ca="1" si="43"/>
        <v/>
      </c>
      <c r="AJ85" s="365" t="str">
        <f t="shared" ca="1" si="43"/>
        <v/>
      </c>
      <c r="AK85" s="365" t="str">
        <f t="shared" ca="1" si="43"/>
        <v/>
      </c>
      <c r="AL85" s="365" t="str">
        <f t="shared" ca="1" si="43"/>
        <v/>
      </c>
      <c r="AM85" s="365" t="str">
        <f t="shared" ca="1" si="43"/>
        <v/>
      </c>
      <c r="AN85" s="365" t="str">
        <f t="shared" ca="1" si="43"/>
        <v/>
      </c>
      <c r="AO85" s="365" t="str">
        <f t="shared" ca="1" si="43"/>
        <v/>
      </c>
      <c r="AP85" s="365" t="str">
        <f t="shared" ca="1" si="43"/>
        <v/>
      </c>
      <c r="AQ85" s="365" t="str">
        <f t="shared" ca="1" si="43"/>
        <v/>
      </c>
      <c r="AR85" s="365" t="str">
        <f t="shared" ca="1" si="43"/>
        <v/>
      </c>
      <c r="AS85" s="365" t="str">
        <f t="shared" ca="1" si="43"/>
        <v/>
      </c>
      <c r="AT85" s="365" t="str">
        <f t="shared" ca="1" si="43"/>
        <v/>
      </c>
      <c r="AU85" s="365" t="str">
        <f t="shared" ca="1" si="43"/>
        <v/>
      </c>
      <c r="AV85" s="365" t="str">
        <f t="shared" ca="1" si="43"/>
        <v/>
      </c>
      <c r="AW85" s="365" t="str">
        <f t="shared" ca="1" si="43"/>
        <v/>
      </c>
      <c r="AX85" s="365" t="str">
        <f t="shared" ca="1" si="43"/>
        <v/>
      </c>
      <c r="AY85" s="114"/>
    </row>
    <row r="86" spans="7:51">
      <c r="G86" s="236" t="s">
        <v>425</v>
      </c>
      <c r="H86" s="237"/>
      <c r="I86" s="238">
        <f ca="1">SUM(I45,I54,I80,I84)</f>
        <v>775222.61712499999</v>
      </c>
      <c r="J86" s="238">
        <f ca="1">SUM(J45,J54,J80,J84)</f>
        <v>774872.61712499999</v>
      </c>
      <c r="R86" s="67"/>
      <c r="U86" s="55"/>
      <c r="V86" s="55"/>
      <c r="W86" s="55"/>
      <c r="X86" s="55"/>
      <c r="Y86" s="55"/>
      <c r="Z86" s="435"/>
      <c r="AA86" s="55"/>
      <c r="AB86" s="55"/>
      <c r="AC86" s="55"/>
      <c r="AD86" s="55"/>
      <c r="AE86" s="55"/>
      <c r="AF86" s="435"/>
      <c r="AG86" s="55"/>
      <c r="AH86" s="55"/>
      <c r="AI86" s="55"/>
      <c r="AJ86" s="55"/>
      <c r="AK86" s="55"/>
      <c r="AL86" s="435"/>
      <c r="AM86" s="55"/>
      <c r="AN86" s="55"/>
      <c r="AO86" s="55"/>
      <c r="AP86" s="55"/>
      <c r="AQ86" s="55"/>
      <c r="AR86" s="435"/>
      <c r="AS86" s="55"/>
      <c r="AT86" s="55"/>
      <c r="AU86" s="55"/>
      <c r="AV86" s="55"/>
      <c r="AW86" s="55"/>
      <c r="AX86" s="55"/>
      <c r="AY86" s="114"/>
    </row>
    <row r="87" spans="7:51">
      <c r="G87" s="79"/>
      <c r="H87" s="240"/>
      <c r="I87" s="240"/>
      <c r="R87" s="98"/>
      <c r="S87" s="170"/>
      <c r="T87" s="327"/>
      <c r="U87" s="170"/>
      <c r="V87" s="170"/>
      <c r="W87" s="170"/>
      <c r="X87" s="170"/>
      <c r="Y87" s="170"/>
      <c r="Z87" s="298"/>
      <c r="AA87" s="170"/>
      <c r="AB87" s="170"/>
      <c r="AC87" s="170"/>
      <c r="AD87" s="170"/>
      <c r="AE87" s="170"/>
      <c r="AF87" s="298"/>
      <c r="AG87" s="170"/>
      <c r="AH87" s="170"/>
      <c r="AI87" s="170"/>
      <c r="AJ87" s="170"/>
      <c r="AK87" s="170"/>
      <c r="AL87" s="298"/>
      <c r="AM87" s="170"/>
      <c r="AN87" s="170"/>
      <c r="AO87" s="170"/>
      <c r="AP87" s="170"/>
      <c r="AQ87" s="170"/>
      <c r="AR87" s="298"/>
      <c r="AS87" s="170"/>
      <c r="AT87" s="170"/>
      <c r="AU87" s="170"/>
      <c r="AV87" s="170"/>
      <c r="AW87" s="170"/>
      <c r="AX87" s="170"/>
      <c r="AY87" s="171"/>
    </row>
    <row r="88" spans="7:51">
      <c r="G88" s="79"/>
      <c r="H88" s="240"/>
      <c r="I88" s="240"/>
    </row>
    <row r="89" spans="7:51">
      <c r="G89" s="79"/>
      <c r="H89" s="241"/>
      <c r="I89" s="241"/>
    </row>
    <row r="90" spans="7:51" ht="21">
      <c r="G90" s="3"/>
      <c r="H90" s="3"/>
      <c r="I90" s="1"/>
    </row>
    <row r="91" spans="7:51" ht="21">
      <c r="G91" s="3"/>
      <c r="H91" s="3"/>
      <c r="I91" s="1"/>
      <c r="V91" s="109"/>
    </row>
    <row r="92" spans="7:51">
      <c r="G92" s="79"/>
      <c r="H92" s="241"/>
      <c r="I92" s="241"/>
    </row>
    <row r="93" spans="7:51">
      <c r="G93" s="242"/>
      <c r="H93" s="241"/>
      <c r="I93" s="241"/>
      <c r="V93" s="559"/>
    </row>
    <row r="94" spans="7:51">
      <c r="G94" s="79"/>
      <c r="H94" s="243"/>
      <c r="I94" s="243"/>
    </row>
    <row r="95" spans="7:51">
      <c r="G95" s="79"/>
      <c r="H95" s="243"/>
      <c r="I95" s="243"/>
      <c r="V95" s="560"/>
    </row>
    <row r="96" spans="7:51">
      <c r="G96" s="79"/>
      <c r="H96" s="243"/>
      <c r="I96" s="243"/>
    </row>
    <row r="97" spans="7:22">
      <c r="G97" s="79"/>
      <c r="H97" s="243"/>
      <c r="I97" s="243"/>
      <c r="V97" s="561"/>
    </row>
    <row r="98" spans="7:22">
      <c r="G98" s="242"/>
      <c r="H98" s="243"/>
      <c r="I98" s="243"/>
    </row>
    <row r="99" spans="7:22">
      <c r="G99" s="79"/>
      <c r="H99" s="243"/>
      <c r="I99" s="243"/>
    </row>
    <row r="100" spans="7:22">
      <c r="G100" s="79"/>
      <c r="H100" s="243"/>
      <c r="I100" s="243"/>
      <c r="V100" s="560"/>
    </row>
    <row r="101" spans="7:22">
      <c r="G101" s="79"/>
      <c r="H101" s="243"/>
      <c r="I101" s="243"/>
    </row>
    <row r="102" spans="7:22">
      <c r="G102" s="79"/>
      <c r="H102" s="243"/>
      <c r="I102" s="243"/>
    </row>
    <row r="103" spans="7:22">
      <c r="G103" s="79"/>
      <c r="H103" s="243"/>
      <c r="I103" s="243"/>
    </row>
    <row r="104" spans="7:22">
      <c r="G104" s="79"/>
      <c r="H104" s="243"/>
      <c r="I104" s="243"/>
    </row>
    <row r="105" spans="7:22">
      <c r="G105" s="242"/>
      <c r="H105" s="243"/>
      <c r="I105" s="243"/>
    </row>
    <row r="106" spans="7:22">
      <c r="G106" s="79"/>
      <c r="H106" s="243"/>
      <c r="I106" s="243"/>
    </row>
    <row r="107" spans="7:22">
      <c r="G107" s="79"/>
      <c r="H107" s="243"/>
      <c r="I107" s="243"/>
    </row>
    <row r="108" spans="7:22">
      <c r="G108" s="151"/>
      <c r="H108" s="33"/>
      <c r="I108" s="33"/>
    </row>
  </sheetData>
  <sheetProtection algorithmName="SHA-512" hashValue="svdNwiSlcMM5I8JvgCT4CMJQlOM8Yqqvdck5O7yu+9hXi7FoohjKo5JIkgw/rTG3HlSmufi4VPR1Gw8KqGh64w==" saltValue="EYks32v2LVDC5TGt2iujBQ==" spinCount="100000" sheet="1" formatCells="0" formatColumns="0" formatRows="0" insertColumns="0" insertRows="0" insertHyperlinks="0" deleteColumns="0" deleteRows="0" sort="0" autoFilter="0" pivotTables="0"/>
  <protectedRanges>
    <protectedRange algorithmName="SHA-512" hashValue="4WD4xc+PCX3IpxagPOxKyDgkWNosM1PswLxfK7F3MTvH2sore2CgoJ7bPoTsN+AH533Rq12WKIwoEtSprHFRxw==" saltValue="WgJoMmDAM8aZASgKzucKtQ==" spinCount="100000" sqref="N75:N76 P49:P51 P59 T47 Q42:Q44 Q49 H94:I108 T49:AX49" name="Locked cells_1_1_3"/>
    <protectedRange algorithmName="SHA-512" hashValue="4WD4xc+PCX3IpxagPOxKyDgkWNosM1PswLxfK7F3MTvH2sore2CgoJ7bPoTsN+AH533Rq12WKIwoEtSprHFRxw==" saltValue="WgJoMmDAM8aZASgKzucKtQ==" spinCount="100000" sqref="T45:T46" name="Locked cells_1_1_1_2"/>
  </protectedRanges>
  <conditionalFormatting sqref="C30:C31">
    <cfRule type="expression" dxfId="11" priority="8">
      <formula>$C$30&lt;0</formula>
    </cfRule>
    <cfRule type="expression" dxfId="10" priority="9">
      <formula>$C$30&gt;0</formula>
    </cfRule>
  </conditionalFormatting>
  <conditionalFormatting sqref="C42:E42">
    <cfRule type="cellIs" dxfId="9" priority="5" operator="greaterThan">
      <formula>0</formula>
    </cfRule>
    <cfRule type="cellIs" dxfId="8" priority="6" operator="lessThan">
      <formula>0</formula>
    </cfRule>
  </conditionalFormatting>
  <conditionalFormatting sqref="C44:E44">
    <cfRule type="cellIs" dxfId="7" priority="1" operator="greaterThan">
      <formula>0</formula>
    </cfRule>
    <cfRule type="cellIs" dxfId="6" priority="2" operator="lessThan">
      <formula>0</formula>
    </cfRule>
  </conditionalFormatting>
  <conditionalFormatting sqref="D30:D31">
    <cfRule type="expression" dxfId="5" priority="7">
      <formula>$D$30&lt;0</formula>
    </cfRule>
    <cfRule type="expression" dxfId="4" priority="10">
      <formula>$D$30&gt;0</formula>
    </cfRule>
  </conditionalFormatting>
  <conditionalFormatting sqref="G8:G37 K8:O37">
    <cfRule type="expression" dxfId="3" priority="4">
      <formula>$G8&gt;0</formula>
    </cfRule>
  </conditionalFormatting>
  <conditionalFormatting sqref="H8:J37">
    <cfRule type="expression" dxfId="2" priority="3">
      <formula>$G8&gt;0</formula>
    </cfRule>
  </conditionalFormatting>
  <conditionalFormatting sqref="Y30:AM30">
    <cfRule type="cellIs" dxfId="1" priority="11" operator="greaterThanOrEqual">
      <formula>$S$42</formula>
    </cfRule>
    <cfRule type="cellIs" dxfId="0" priority="12" operator="lessThan">
      <formula>$S$42</formula>
    </cfRule>
  </conditionalFormatting>
  <hyperlinks>
    <hyperlink ref="R18" r:id="rId1" xr:uid="{ED2E50EC-3973-467E-8B0D-5C300AECCCCD}"/>
  </hyperlinks>
  <pageMargins left="0.7" right="0.7" top="0.75" bottom="0.75" header="0.3" footer="0.3"/>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C61F-36E3-473C-AB45-DD2ABA9C81E6}">
  <dimension ref="B2:G19"/>
  <sheetViews>
    <sheetView workbookViewId="0">
      <selection activeCell="G24" sqref="G24"/>
    </sheetView>
  </sheetViews>
  <sheetFormatPr defaultRowHeight="14.45"/>
  <cols>
    <col min="2" max="2" width="10.7109375" customWidth="1"/>
    <col min="3" max="3" width="11.7109375" customWidth="1"/>
    <col min="4" max="4" width="10.7109375" customWidth="1"/>
    <col min="5" max="5" width="11.28515625" customWidth="1"/>
    <col min="6" max="6" width="11.7109375" customWidth="1"/>
    <col min="7" max="7" width="10.7109375" customWidth="1"/>
  </cols>
  <sheetData>
    <row r="2" spans="2:7" ht="19.899999999999999" customHeight="1">
      <c r="B2" s="44" t="s">
        <v>543</v>
      </c>
      <c r="C2" s="37"/>
      <c r="D2" s="37"/>
      <c r="E2" s="37"/>
      <c r="F2" s="37"/>
      <c r="G2" s="403"/>
    </row>
    <row r="3" spans="2:7">
      <c r="B3" s="39"/>
      <c r="C3" s="404">
        <v>0</v>
      </c>
      <c r="D3" s="404">
        <v>1</v>
      </c>
      <c r="E3" s="404">
        <v>2</v>
      </c>
      <c r="F3" s="404">
        <v>3</v>
      </c>
      <c r="G3" s="40">
        <v>4</v>
      </c>
    </row>
    <row r="4" spans="2:7">
      <c r="B4" s="39">
        <v>0.5</v>
      </c>
      <c r="C4" s="20">
        <f t="shared" ref="C4:C9" si="0">D4-(E4-D4)</f>
        <v>877</v>
      </c>
      <c r="D4" s="20">
        <v>1096</v>
      </c>
      <c r="E4" s="20">
        <v>1315</v>
      </c>
      <c r="F4" s="20">
        <v>1520</v>
      </c>
      <c r="G4" s="41">
        <v>1696</v>
      </c>
    </row>
    <row r="5" spans="2:7">
      <c r="B5" s="39">
        <v>0.6</v>
      </c>
      <c r="C5" s="20">
        <f t="shared" si="0"/>
        <v>1114</v>
      </c>
      <c r="D5" s="20">
        <v>1316</v>
      </c>
      <c r="E5" s="20">
        <v>1518</v>
      </c>
      <c r="F5" s="20">
        <v>1824</v>
      </c>
      <c r="G5" s="41">
        <v>2035</v>
      </c>
    </row>
    <row r="6" spans="2:7">
      <c r="B6" s="39">
        <v>0.8</v>
      </c>
      <c r="C6" s="20">
        <f t="shared" si="0"/>
        <v>1229</v>
      </c>
      <c r="D6" s="20">
        <v>1535</v>
      </c>
      <c r="E6" s="20">
        <v>1841</v>
      </c>
      <c r="F6" s="20">
        <v>2128</v>
      </c>
      <c r="G6" s="41">
        <v>2374</v>
      </c>
    </row>
    <row r="7" spans="2:7">
      <c r="B7" s="39">
        <v>1</v>
      </c>
      <c r="C7" s="20">
        <f t="shared" si="0"/>
        <v>1406</v>
      </c>
      <c r="D7" s="20">
        <v>1755</v>
      </c>
      <c r="E7" s="20">
        <v>2104</v>
      </c>
      <c r="F7" s="20">
        <v>2432</v>
      </c>
      <c r="G7" s="41">
        <v>2714</v>
      </c>
    </row>
    <row r="8" spans="2:7">
      <c r="B8" s="39">
        <v>1.2</v>
      </c>
      <c r="C8" s="20">
        <f t="shared" si="0"/>
        <v>1581</v>
      </c>
      <c r="D8" s="20">
        <v>1974</v>
      </c>
      <c r="E8" s="20">
        <v>2367</v>
      </c>
      <c r="F8" s="20">
        <v>2736</v>
      </c>
      <c r="G8" s="41">
        <v>3053</v>
      </c>
    </row>
    <row r="9" spans="2:7">
      <c r="B9" s="42" t="s">
        <v>544</v>
      </c>
      <c r="C9" s="19">
        <f t="shared" si="0"/>
        <v>1756</v>
      </c>
      <c r="D9" s="19">
        <v>2193</v>
      </c>
      <c r="E9" s="19">
        <v>2630</v>
      </c>
      <c r="F9" s="19">
        <v>3040</v>
      </c>
      <c r="G9" s="43">
        <v>3392</v>
      </c>
    </row>
    <row r="10" spans="2:7">
      <c r="B10" s="9"/>
      <c r="C10" s="9"/>
      <c r="D10" s="9"/>
      <c r="E10" s="9"/>
      <c r="F10" s="9"/>
    </row>
    <row r="12" spans="2:7">
      <c r="B12" s="44" t="s">
        <v>545</v>
      </c>
      <c r="C12" s="37"/>
      <c r="D12" s="37"/>
      <c r="E12" s="37"/>
      <c r="F12" s="37"/>
      <c r="G12" s="38"/>
    </row>
    <row r="13" spans="2:7">
      <c r="B13" s="39"/>
      <c r="C13" s="404">
        <v>1</v>
      </c>
      <c r="D13" s="404">
        <v>2</v>
      </c>
      <c r="E13" s="404">
        <v>3</v>
      </c>
      <c r="F13" s="404">
        <v>4</v>
      </c>
      <c r="G13" s="40">
        <v>5</v>
      </c>
    </row>
    <row r="14" spans="2:7">
      <c r="B14" s="39">
        <v>0.5</v>
      </c>
      <c r="C14" s="20">
        <f t="shared" ref="C14:C19" si="1">D14-(E14-D14)</f>
        <v>41000</v>
      </c>
      <c r="D14" s="20">
        <v>46800</v>
      </c>
      <c r="E14" s="20">
        <v>52600</v>
      </c>
      <c r="F14" s="20">
        <v>58450</v>
      </c>
      <c r="G14" s="41">
        <v>63150</v>
      </c>
    </row>
    <row r="15" spans="2:7">
      <c r="B15" s="39">
        <v>0.6</v>
      </c>
      <c r="C15" s="20">
        <f t="shared" si="1"/>
        <v>49200</v>
      </c>
      <c r="D15" s="20">
        <v>56160</v>
      </c>
      <c r="E15" s="20">
        <v>63120</v>
      </c>
      <c r="F15" s="20">
        <v>70140</v>
      </c>
      <c r="G15" s="41">
        <v>75780</v>
      </c>
    </row>
    <row r="16" spans="2:7">
      <c r="B16" s="39">
        <v>0.8</v>
      </c>
      <c r="C16" s="20">
        <f t="shared" si="1"/>
        <v>65600</v>
      </c>
      <c r="D16" s="20">
        <v>74880</v>
      </c>
      <c r="E16" s="20">
        <v>84160</v>
      </c>
      <c r="F16" s="20">
        <v>93520</v>
      </c>
      <c r="G16" s="41">
        <v>101040</v>
      </c>
    </row>
    <row r="17" spans="2:7">
      <c r="B17" s="39">
        <v>1</v>
      </c>
      <c r="C17" s="20">
        <f t="shared" si="1"/>
        <v>82000</v>
      </c>
      <c r="D17" s="20">
        <v>93600</v>
      </c>
      <c r="E17" s="20">
        <v>105200</v>
      </c>
      <c r="F17" s="20">
        <v>116900</v>
      </c>
      <c r="G17" s="41">
        <v>126300</v>
      </c>
    </row>
    <row r="18" spans="2:7">
      <c r="B18" s="39">
        <v>1.2</v>
      </c>
      <c r="C18" s="20">
        <f t="shared" si="1"/>
        <v>98400</v>
      </c>
      <c r="D18" s="20">
        <v>112320</v>
      </c>
      <c r="E18" s="20">
        <v>126240</v>
      </c>
      <c r="F18" s="20">
        <v>140280</v>
      </c>
      <c r="G18" s="41">
        <v>151560</v>
      </c>
    </row>
    <row r="19" spans="2:7">
      <c r="B19" s="42" t="s">
        <v>544</v>
      </c>
      <c r="C19" s="19">
        <f t="shared" si="1"/>
        <v>114800</v>
      </c>
      <c r="D19" s="19">
        <v>131040</v>
      </c>
      <c r="E19" s="19">
        <v>147280</v>
      </c>
      <c r="F19" s="19">
        <v>163660</v>
      </c>
      <c r="G19" s="43">
        <v>176820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B795F-DF8C-4FE8-BC70-98677D2F52AE}">
  <dimension ref="A1:CH74"/>
  <sheetViews>
    <sheetView tabSelected="1" zoomScale="115" zoomScaleNormal="115" workbookViewId="0">
      <pane xSplit="5" ySplit="1" topLeftCell="F2" activePane="bottomRight" state="frozen"/>
      <selection pane="bottomRight" activeCell="B42" sqref="B42"/>
      <selection pane="bottomLeft" activeCell="A2" sqref="A2"/>
      <selection pane="topRight" activeCell="F1" sqref="F1"/>
    </sheetView>
  </sheetViews>
  <sheetFormatPr defaultRowHeight="14.45"/>
  <cols>
    <col min="4" max="4" width="16.7109375" customWidth="1"/>
    <col min="6" max="6" width="16.140625" customWidth="1"/>
    <col min="8" max="8" width="12.7109375" style="493" customWidth="1"/>
    <col min="9" max="9" width="12.28515625" customWidth="1"/>
    <col min="10" max="10" width="22.42578125" customWidth="1"/>
    <col min="11" max="11" width="16.28515625" customWidth="1"/>
    <col min="12" max="28" width="14.28515625" customWidth="1"/>
    <col min="29" max="29" width="17.42578125" customWidth="1"/>
    <col min="30" max="30" width="16.7109375" customWidth="1"/>
    <col min="31" max="35" width="14.28515625" customWidth="1"/>
    <col min="36" max="36" width="15.5703125" customWidth="1"/>
    <col min="37" max="43" width="14.28515625" customWidth="1"/>
    <col min="44" max="44" width="18.7109375" customWidth="1"/>
    <col min="45" max="50" width="14.28515625" customWidth="1"/>
    <col min="51" max="51" width="34.7109375" customWidth="1"/>
    <col min="52" max="52" width="15.5703125" customWidth="1"/>
    <col min="53" max="53" width="15.28515625" customWidth="1"/>
    <col min="54" max="54" width="16" customWidth="1"/>
    <col min="55" max="56" width="14.28515625" customWidth="1"/>
    <col min="57" max="57" width="46.7109375" customWidth="1"/>
    <col min="58" max="58" width="24.28515625" style="258" customWidth="1"/>
    <col min="59" max="59" width="16" hidden="1" customWidth="1"/>
    <col min="60" max="60" width="8.85546875" hidden="1" customWidth="1"/>
    <col min="61" max="61" width="0" hidden="1" customWidth="1"/>
    <col min="62" max="62" width="24.7109375" hidden="1" customWidth="1"/>
    <col min="63" max="63" width="11.5703125" customWidth="1"/>
    <col min="65" max="65" width="11.5703125" customWidth="1"/>
  </cols>
  <sheetData>
    <row r="1" spans="1:86">
      <c r="A1" s="331" t="s">
        <v>546</v>
      </c>
      <c r="B1" s="331" t="s">
        <v>547</v>
      </c>
      <c r="C1" s="331" t="s">
        <v>548</v>
      </c>
      <c r="D1" s="331" t="s">
        <v>549</v>
      </c>
      <c r="E1" s="331" t="s">
        <v>550</v>
      </c>
      <c r="F1" s="331" t="s">
        <v>551</v>
      </c>
      <c r="G1" s="331" t="s">
        <v>552</v>
      </c>
      <c r="H1" s="921" t="s">
        <v>553</v>
      </c>
      <c r="I1" s="332" t="s">
        <v>554</v>
      </c>
      <c r="J1" s="332" t="s">
        <v>555</v>
      </c>
      <c r="K1" s="333" t="s">
        <v>229</v>
      </c>
      <c r="L1" s="334" t="s">
        <v>556</v>
      </c>
      <c r="M1" s="334" t="s">
        <v>557</v>
      </c>
      <c r="N1" s="334" t="s">
        <v>558</v>
      </c>
      <c r="O1" s="334" t="s">
        <v>559</v>
      </c>
      <c r="P1" s="334" t="s">
        <v>560</v>
      </c>
      <c r="Q1" s="334" t="s">
        <v>561</v>
      </c>
      <c r="R1" s="334" t="s">
        <v>562</v>
      </c>
      <c r="S1" s="334" t="s">
        <v>419</v>
      </c>
      <c r="T1" s="335" t="s">
        <v>563</v>
      </c>
      <c r="U1" s="336" t="s">
        <v>564</v>
      </c>
      <c r="V1" s="337" t="s">
        <v>565</v>
      </c>
      <c r="W1" s="337" t="s">
        <v>566</v>
      </c>
      <c r="X1" s="337" t="s">
        <v>567</v>
      </c>
      <c r="Y1" s="337" t="s">
        <v>568</v>
      </c>
      <c r="Z1" s="337" t="s">
        <v>569</v>
      </c>
      <c r="AA1" s="337" t="s">
        <v>570</v>
      </c>
      <c r="AB1" s="337" t="s">
        <v>257</v>
      </c>
      <c r="AC1" s="338" t="s">
        <v>571</v>
      </c>
      <c r="AD1" s="339" t="s">
        <v>572</v>
      </c>
      <c r="AE1" s="340" t="s">
        <v>573</v>
      </c>
      <c r="AF1" s="341" t="s">
        <v>574</v>
      </c>
      <c r="AG1" s="342" t="s">
        <v>433</v>
      </c>
      <c r="AH1" s="342" t="s">
        <v>575</v>
      </c>
      <c r="AI1" s="342" t="s">
        <v>576</v>
      </c>
      <c r="AJ1" s="343" t="s">
        <v>577</v>
      </c>
      <c r="AK1" s="342" t="s">
        <v>578</v>
      </c>
      <c r="AL1" s="342" t="s">
        <v>579</v>
      </c>
      <c r="AM1" s="342" t="s">
        <v>257</v>
      </c>
      <c r="AN1" s="342" t="s">
        <v>580</v>
      </c>
      <c r="AO1" s="344" t="s">
        <v>220</v>
      </c>
      <c r="AP1" s="344" t="s">
        <v>228</v>
      </c>
      <c r="AQ1" s="344" t="s">
        <v>581</v>
      </c>
      <c r="AR1" s="344" t="s">
        <v>582</v>
      </c>
      <c r="AS1" s="344" t="s">
        <v>583</v>
      </c>
      <c r="AT1" s="344" t="s">
        <v>452</v>
      </c>
      <c r="AU1" s="344" t="s">
        <v>584</v>
      </c>
      <c r="AV1" s="344" t="s">
        <v>585</v>
      </c>
      <c r="AW1" s="344" t="s">
        <v>233</v>
      </c>
      <c r="AX1" s="345" t="s">
        <v>586</v>
      </c>
      <c r="AY1" s="346" t="s">
        <v>587</v>
      </c>
      <c r="AZ1" s="250" t="s">
        <v>588</v>
      </c>
      <c r="BA1" s="250" t="s">
        <v>589</v>
      </c>
      <c r="BB1" s="250" t="s">
        <v>590</v>
      </c>
      <c r="BC1" s="250" t="s">
        <v>591</v>
      </c>
      <c r="BD1" s="250" t="s">
        <v>592</v>
      </c>
      <c r="BE1" s="347" t="s">
        <v>593</v>
      </c>
      <c r="BF1" s="704" t="s">
        <v>594</v>
      </c>
      <c r="BG1" s="337" t="s">
        <v>452</v>
      </c>
      <c r="BH1" s="337" t="s">
        <v>595</v>
      </c>
      <c r="BI1" s="337" t="s">
        <v>596</v>
      </c>
      <c r="BJ1" s="337" t="s">
        <v>597</v>
      </c>
    </row>
    <row r="2" spans="1:86" ht="14.65" customHeight="1">
      <c r="A2">
        <v>1</v>
      </c>
      <c r="B2" t="s">
        <v>598</v>
      </c>
      <c r="C2" s="348" t="s">
        <v>599</v>
      </c>
      <c r="D2" t="s">
        <v>600</v>
      </c>
      <c r="E2" s="348">
        <v>76</v>
      </c>
      <c r="F2" s="348"/>
      <c r="G2" s="709" t="s">
        <v>601</v>
      </c>
      <c r="H2" s="922">
        <v>1962</v>
      </c>
      <c r="I2" s="348" t="s">
        <v>602</v>
      </c>
      <c r="J2" s="348" t="str" cm="1">
        <f t="array" ref="J2">_xlfn.IFS(E2&lt;16,$CH$3,AND(15&lt;E2,E2&lt;31),$CH$4,E2&gt;30,$CH$5)</f>
        <v>31+</v>
      </c>
      <c r="K2" s="352">
        <v>21933934</v>
      </c>
      <c r="L2" s="352">
        <v>277500</v>
      </c>
      <c r="M2" s="258"/>
      <c r="N2" s="258"/>
      <c r="O2" s="352">
        <v>725000</v>
      </c>
      <c r="P2" s="352">
        <v>40000</v>
      </c>
      <c r="Q2" s="352">
        <v>147214</v>
      </c>
      <c r="R2" s="352">
        <v>287573</v>
      </c>
      <c r="S2" s="352">
        <v>1766925</v>
      </c>
      <c r="T2" s="258">
        <f t="shared" ref="T2:T24" si="0">SUM(L2:S2)</f>
        <v>3244212</v>
      </c>
      <c r="U2" s="352">
        <v>485615</v>
      </c>
      <c r="V2" s="352">
        <v>134000</v>
      </c>
      <c r="W2" s="352">
        <v>1584475</v>
      </c>
      <c r="X2" s="352">
        <v>1006100</v>
      </c>
      <c r="Y2" s="258"/>
      <c r="Z2" s="352">
        <v>849300</v>
      </c>
      <c r="AA2" s="258"/>
      <c r="AB2" s="258"/>
      <c r="AC2" s="258">
        <f t="shared" ref="AC2:AC26" si="1">SUM(U2:AB2)+BF2</f>
        <v>4059490</v>
      </c>
      <c r="AD2" s="700">
        <f t="shared" ref="AD2:AD26" si="2">K2+AC2+T2</f>
        <v>29237636</v>
      </c>
      <c r="AE2" s="258"/>
      <c r="AF2" s="258" t="s">
        <v>603</v>
      </c>
      <c r="AG2" s="258"/>
      <c r="AH2" s="352">
        <v>7517436</v>
      </c>
      <c r="AI2" s="258"/>
      <c r="AJ2" s="258"/>
      <c r="AK2" s="352">
        <v>15378404</v>
      </c>
      <c r="AL2" s="258"/>
      <c r="AM2" s="258">
        <v>6341796</v>
      </c>
      <c r="AN2" s="700">
        <f t="shared" ref="AN2:AN19" si="3">SUM(AG2:AM2)</f>
        <v>29237636</v>
      </c>
      <c r="AO2" s="352">
        <v>114099</v>
      </c>
      <c r="AP2" s="352">
        <v>46442</v>
      </c>
      <c r="AQ2" s="352">
        <v>63840</v>
      </c>
      <c r="AR2" s="352">
        <v>70604</v>
      </c>
      <c r="AS2" s="352">
        <v>100179</v>
      </c>
      <c r="AT2" s="352">
        <v>22800</v>
      </c>
      <c r="AU2" s="352">
        <v>176758</v>
      </c>
      <c r="AV2" s="352">
        <v>67685</v>
      </c>
      <c r="AW2" s="258"/>
      <c r="AX2" s="258">
        <f t="shared" ref="AX2:AX18" si="4">SUM(AO2:AW2)</f>
        <v>662407</v>
      </c>
      <c r="AY2" s="350">
        <f t="shared" ref="AY2:AY27" si="5">AD2/K2</f>
        <v>1.3329864127429216</v>
      </c>
      <c r="AZ2" s="329">
        <f t="shared" ref="AZ2:AZ26" si="6">K2/E2</f>
        <v>288604.39473684208</v>
      </c>
      <c r="BA2" s="328">
        <f t="shared" ref="BA2:BA26" si="7">T2/E2</f>
        <v>42687</v>
      </c>
      <c r="BB2" s="247">
        <f t="shared" ref="BB2:BB26" si="8">AC2/E2</f>
        <v>53414.34210526316</v>
      </c>
      <c r="BC2" s="247">
        <f t="shared" ref="BC2:BC26" si="9">AD2/E2</f>
        <v>384705.73684210528</v>
      </c>
      <c r="BD2" s="258">
        <f t="shared" ref="BD2:BD12" si="10">AX2/E2</f>
        <v>8715.8815789473683</v>
      </c>
      <c r="BE2" s="705" t="s">
        <v>604</v>
      </c>
    </row>
    <row r="3" spans="1:86" ht="21" customHeight="1">
      <c r="A3">
        <v>2</v>
      </c>
      <c r="B3" t="s">
        <v>598</v>
      </c>
      <c r="C3" s="348" t="s">
        <v>605</v>
      </c>
      <c r="D3" t="s">
        <v>600</v>
      </c>
      <c r="E3" s="348">
        <v>152</v>
      </c>
      <c r="F3" s="348"/>
      <c r="G3" s="709"/>
      <c r="H3" s="922">
        <v>1969</v>
      </c>
      <c r="I3" s="348" t="s">
        <v>602</v>
      </c>
      <c r="J3" s="348" t="str" cm="1">
        <f t="array" ref="J3">_xlfn.IFS(E3&lt;16,$CH$3,AND(15&lt;E3,E3&lt;31),$CH$4,E3&gt;30,$CH$5)</f>
        <v>31+</v>
      </c>
      <c r="K3" s="352">
        <v>30050217</v>
      </c>
      <c r="L3" s="352">
        <v>165000</v>
      </c>
      <c r="M3" s="258"/>
      <c r="N3" s="258"/>
      <c r="O3" s="352">
        <v>640800</v>
      </c>
      <c r="P3" s="352">
        <v>65000</v>
      </c>
      <c r="Q3" s="352">
        <v>362000</v>
      </c>
      <c r="R3" s="352">
        <v>165000</v>
      </c>
      <c r="S3" s="352">
        <v>2486666</v>
      </c>
      <c r="T3" s="258">
        <f t="shared" si="0"/>
        <v>3884466</v>
      </c>
      <c r="U3" s="352">
        <v>881167</v>
      </c>
      <c r="V3" s="703">
        <v>706300</v>
      </c>
      <c r="W3" s="703">
        <v>476000</v>
      </c>
      <c r="X3" s="703">
        <v>1612090</v>
      </c>
      <c r="Y3" s="356"/>
      <c r="Z3" s="703">
        <v>1697800</v>
      </c>
      <c r="AA3" s="356"/>
      <c r="AB3" s="356"/>
      <c r="AC3" s="356">
        <f t="shared" si="1"/>
        <v>5373357</v>
      </c>
      <c r="AD3" s="700">
        <f t="shared" si="2"/>
        <v>39308040</v>
      </c>
      <c r="AE3" s="258"/>
      <c r="AF3" s="258" t="s">
        <v>603</v>
      </c>
      <c r="AG3" s="352">
        <v>1200000</v>
      </c>
      <c r="AH3" s="352">
        <v>3450000</v>
      </c>
      <c r="AI3" s="258"/>
      <c r="AJ3" s="258"/>
      <c r="AK3" s="352">
        <v>17019142</v>
      </c>
      <c r="AL3" s="258"/>
      <c r="AM3" s="258">
        <v>17638898</v>
      </c>
      <c r="AN3" s="700">
        <f t="shared" si="3"/>
        <v>39308040</v>
      </c>
      <c r="AO3" s="352">
        <v>338614</v>
      </c>
      <c r="AP3" s="352">
        <v>106187</v>
      </c>
      <c r="AQ3" s="352">
        <v>100320</v>
      </c>
      <c r="AR3" s="352">
        <v>106198</v>
      </c>
      <c r="AS3" s="352">
        <v>179360</v>
      </c>
      <c r="AT3" s="352">
        <v>76000</v>
      </c>
      <c r="AU3" s="352">
        <v>329917</v>
      </c>
      <c r="AV3" s="352">
        <v>122969</v>
      </c>
      <c r="AW3" s="258"/>
      <c r="AX3" s="258">
        <f t="shared" si="4"/>
        <v>1359565</v>
      </c>
      <c r="AY3" s="350">
        <f t="shared" si="5"/>
        <v>1.3080784075535961</v>
      </c>
      <c r="AZ3" s="329">
        <f t="shared" si="6"/>
        <v>197698.79605263157</v>
      </c>
      <c r="BA3" s="328">
        <f t="shared" si="7"/>
        <v>25555.697368421053</v>
      </c>
      <c r="BB3" s="247">
        <f t="shared" si="8"/>
        <v>35351.03289473684</v>
      </c>
      <c r="BC3" s="247">
        <f t="shared" si="9"/>
        <v>258605.52631578947</v>
      </c>
      <c r="BD3" s="258">
        <f t="shared" si="10"/>
        <v>8944.5065789473683</v>
      </c>
      <c r="BE3" s="705" t="s">
        <v>604</v>
      </c>
      <c r="BI3" s="253"/>
      <c r="CH3" s="256" t="s">
        <v>606</v>
      </c>
    </row>
    <row r="4" spans="1:86" ht="21" customHeight="1">
      <c r="A4">
        <v>3</v>
      </c>
      <c r="B4" t="s">
        <v>598</v>
      </c>
      <c r="C4" t="s">
        <v>607</v>
      </c>
      <c r="D4" s="348" t="s">
        <v>608</v>
      </c>
      <c r="E4">
        <v>126</v>
      </c>
      <c r="H4" s="493">
        <v>1974</v>
      </c>
      <c r="J4" s="348" t="str" cm="1">
        <f t="array" ref="J4">_xlfn.IFS(E4&lt;16,$CH$3,AND(15&lt;E4,E4&lt;31),$CH$4,E4&gt;30,$CH$5)</f>
        <v>31+</v>
      </c>
      <c r="K4" s="258">
        <v>38300000</v>
      </c>
      <c r="L4" s="258">
        <v>194694</v>
      </c>
      <c r="M4" s="258">
        <v>0</v>
      </c>
      <c r="N4" s="258">
        <v>383000</v>
      </c>
      <c r="O4" s="258">
        <v>61350</v>
      </c>
      <c r="P4" s="258">
        <v>0</v>
      </c>
      <c r="Q4" s="258"/>
      <c r="R4" s="258">
        <v>162051</v>
      </c>
      <c r="S4" s="258">
        <v>1019647</v>
      </c>
      <c r="T4" s="258">
        <f t="shared" si="0"/>
        <v>1820742</v>
      </c>
      <c r="U4" s="783">
        <v>152241</v>
      </c>
      <c r="V4" s="783">
        <v>127500</v>
      </c>
      <c r="W4" s="783">
        <v>499543</v>
      </c>
      <c r="X4" s="783">
        <v>60675</v>
      </c>
      <c r="Y4" s="783">
        <v>104675</v>
      </c>
      <c r="Z4" s="783">
        <v>74000</v>
      </c>
      <c r="AA4" s="783">
        <v>173001</v>
      </c>
      <c r="AB4" s="783">
        <f>400805+462811</f>
        <v>863616</v>
      </c>
      <c r="AC4" s="356">
        <f t="shared" si="1"/>
        <v>2055251</v>
      </c>
      <c r="AD4" s="700">
        <f t="shared" si="2"/>
        <v>42175993</v>
      </c>
      <c r="AE4" s="258"/>
      <c r="AF4" s="258" t="s">
        <v>609</v>
      </c>
      <c r="AG4" s="258">
        <v>17307000</v>
      </c>
      <c r="AH4" s="701">
        <v>24859000</v>
      </c>
      <c r="AI4" s="258"/>
      <c r="AJ4" s="258"/>
      <c r="AK4" s="258"/>
      <c r="AL4" s="701">
        <v>10000</v>
      </c>
      <c r="AM4" s="258"/>
      <c r="AN4" s="702">
        <f t="shared" si="3"/>
        <v>42176000</v>
      </c>
      <c r="AO4" s="258">
        <v>210106</v>
      </c>
      <c r="AP4" s="258">
        <v>210106</v>
      </c>
      <c r="AQ4" s="258">
        <v>210106</v>
      </c>
      <c r="AR4" s="258">
        <v>46935</v>
      </c>
      <c r="AS4" s="258">
        <v>210106</v>
      </c>
      <c r="AT4" s="258"/>
      <c r="AU4" s="258">
        <v>210106</v>
      </c>
      <c r="AV4" s="258">
        <v>210106</v>
      </c>
      <c r="AW4" s="258">
        <v>401640</v>
      </c>
      <c r="AX4" s="258">
        <f t="shared" si="4"/>
        <v>1709211</v>
      </c>
      <c r="AY4" s="350">
        <f t="shared" si="5"/>
        <v>1.1012008616187989</v>
      </c>
      <c r="AZ4" s="329">
        <f t="shared" si="6"/>
        <v>303968.25396825396</v>
      </c>
      <c r="BA4" s="328">
        <f t="shared" si="7"/>
        <v>14450.333333333334</v>
      </c>
      <c r="BB4" s="247">
        <f t="shared" si="8"/>
        <v>16311.515873015873</v>
      </c>
      <c r="BC4" s="247">
        <f t="shared" si="9"/>
        <v>334730.10317460319</v>
      </c>
      <c r="BD4" s="258">
        <f t="shared" si="10"/>
        <v>13565.166666666666</v>
      </c>
      <c r="BE4" s="697"/>
      <c r="BI4" s="353"/>
      <c r="CH4" s="257" t="s">
        <v>610</v>
      </c>
    </row>
    <row r="5" spans="1:86" ht="21" customHeight="1">
      <c r="A5">
        <v>4</v>
      </c>
      <c r="B5" t="s">
        <v>598</v>
      </c>
      <c r="C5" t="s">
        <v>611</v>
      </c>
      <c r="D5" s="348" t="s">
        <v>608</v>
      </c>
      <c r="E5">
        <v>80</v>
      </c>
      <c r="H5" s="493">
        <v>1955</v>
      </c>
      <c r="J5" s="348" t="str" cm="1">
        <f t="array" ref="J5">_xlfn.IFS(E5&lt;16,$CH$3,AND(15&lt;E5,E5&lt;31),$CH$4,E5&gt;30,$CH$5)</f>
        <v>31+</v>
      </c>
      <c r="K5" s="258">
        <v>26900000</v>
      </c>
      <c r="L5" s="258">
        <v>94792</v>
      </c>
      <c r="M5" s="258">
        <v>0</v>
      </c>
      <c r="N5" s="258">
        <v>269000</v>
      </c>
      <c r="O5" s="258">
        <v>42975</v>
      </c>
      <c r="P5" s="258" t="s">
        <v>612</v>
      </c>
      <c r="Q5" s="258">
        <v>0</v>
      </c>
      <c r="R5" s="258">
        <v>302450</v>
      </c>
      <c r="S5" s="258">
        <v>749149</v>
      </c>
      <c r="T5" s="258">
        <f t="shared" si="0"/>
        <v>1458366</v>
      </c>
      <c r="U5" s="258">
        <v>88118</v>
      </c>
      <c r="V5" s="356">
        <v>46000</v>
      </c>
      <c r="W5" s="356">
        <v>323069</v>
      </c>
      <c r="X5" s="356">
        <v>28720</v>
      </c>
      <c r="Y5" s="356">
        <v>87000</v>
      </c>
      <c r="Z5" s="356">
        <v>16800</v>
      </c>
      <c r="AA5" s="356">
        <v>110147</v>
      </c>
      <c r="AB5" s="356"/>
      <c r="AC5" s="356">
        <f t="shared" si="1"/>
        <v>1291633.58</v>
      </c>
      <c r="AD5" s="700">
        <f>K5+AC5+T5</f>
        <v>29649999.579999998</v>
      </c>
      <c r="AE5" s="258"/>
      <c r="AF5" s="258" t="s">
        <v>609</v>
      </c>
      <c r="AG5" s="258">
        <v>759500</v>
      </c>
      <c r="AH5" s="258">
        <v>10795000</v>
      </c>
      <c r="AI5" s="701">
        <v>11250000</v>
      </c>
      <c r="AJ5" s="258"/>
      <c r="AK5" s="258"/>
      <c r="AL5" s="258">
        <v>10000</v>
      </c>
      <c r="AM5" s="258">
        <v>6835500</v>
      </c>
      <c r="AN5" s="702">
        <f t="shared" si="3"/>
        <v>29650000</v>
      </c>
      <c r="AO5" s="258">
        <v>96325</v>
      </c>
      <c r="AP5" s="258">
        <v>35834</v>
      </c>
      <c r="AQ5" s="258">
        <v>70200</v>
      </c>
      <c r="AR5" s="258">
        <v>38619</v>
      </c>
      <c r="AS5" s="258">
        <v>125509</v>
      </c>
      <c r="AT5" s="258"/>
      <c r="AU5" s="258">
        <v>64436</v>
      </c>
      <c r="AV5" s="258">
        <v>3708</v>
      </c>
      <c r="AW5" s="258">
        <v>348245</v>
      </c>
      <c r="AX5" s="258">
        <f t="shared" si="4"/>
        <v>782876</v>
      </c>
      <c r="AY5" s="350">
        <f t="shared" si="5"/>
        <v>1.1022304676579926</v>
      </c>
      <c r="AZ5" s="329">
        <f t="shared" si="6"/>
        <v>336250</v>
      </c>
      <c r="BA5" s="328">
        <f t="shared" si="7"/>
        <v>18229.575000000001</v>
      </c>
      <c r="BB5" s="247">
        <f t="shared" si="8"/>
        <v>16145.419750000001</v>
      </c>
      <c r="BC5" s="247">
        <f t="shared" si="9"/>
        <v>370624.99474999995</v>
      </c>
      <c r="BD5" s="258">
        <f t="shared" si="10"/>
        <v>9785.9500000000007</v>
      </c>
      <c r="BE5" s="697"/>
      <c r="BF5" s="258">
        <v>591779.57999999996</v>
      </c>
      <c r="BI5" s="353"/>
      <c r="CH5" t="s">
        <v>613</v>
      </c>
    </row>
    <row r="6" spans="1:86" ht="21" customHeight="1">
      <c r="A6">
        <v>5</v>
      </c>
      <c r="B6" t="s">
        <v>614</v>
      </c>
      <c r="C6" t="s">
        <v>615</v>
      </c>
      <c r="D6" t="s">
        <v>616</v>
      </c>
      <c r="E6">
        <v>5</v>
      </c>
      <c r="G6" s="330">
        <v>0.8</v>
      </c>
      <c r="H6" s="493">
        <v>1967</v>
      </c>
      <c r="I6" t="s">
        <v>617</v>
      </c>
      <c r="J6" s="348" t="str" cm="1">
        <f t="array" ref="J6">_xlfn.IFS(E6&lt;16,$CH$3,AND(15&lt;E6,E6&lt;31),$CH$4,E6&gt;30,$CH$5)</f>
        <v>1 to 15</v>
      </c>
      <c r="K6" s="258">
        <v>620000</v>
      </c>
      <c r="L6" s="258"/>
      <c r="M6" s="258"/>
      <c r="N6" s="258"/>
      <c r="O6" s="258">
        <v>18194.150000000001</v>
      </c>
      <c r="P6" s="258"/>
      <c r="Q6" s="258">
        <v>1399.55</v>
      </c>
      <c r="R6" s="258"/>
      <c r="S6" s="258"/>
      <c r="T6" s="258">
        <f t="shared" si="0"/>
        <v>19593.7</v>
      </c>
      <c r="U6" s="258"/>
      <c r="V6" s="356"/>
      <c r="W6" s="356"/>
      <c r="X6" s="356"/>
      <c r="Y6" s="356"/>
      <c r="Z6" s="356"/>
      <c r="AA6" s="356"/>
      <c r="AB6" s="356"/>
      <c r="AC6" s="356">
        <f t="shared" si="1"/>
        <v>139955</v>
      </c>
      <c r="AD6" s="700">
        <f t="shared" si="2"/>
        <v>779548.7</v>
      </c>
      <c r="AE6" s="258"/>
      <c r="AF6" s="258" t="s">
        <v>618</v>
      </c>
      <c r="AG6" s="258">
        <v>779549</v>
      </c>
      <c r="AH6" s="258"/>
      <c r="AI6" s="258"/>
      <c r="AJ6" s="258"/>
      <c r="AK6" s="258"/>
      <c r="AL6" s="258"/>
      <c r="AM6" s="258"/>
      <c r="AN6" s="702">
        <f t="shared" si="3"/>
        <v>779549</v>
      </c>
      <c r="AO6" s="258">
        <v>3840</v>
      </c>
      <c r="AP6" s="258">
        <v>5745</v>
      </c>
      <c r="AQ6" s="258">
        <v>4179</v>
      </c>
      <c r="AR6" s="258">
        <v>2200</v>
      </c>
      <c r="AS6" s="258">
        <v>6000</v>
      </c>
      <c r="AT6" s="258">
        <v>2500</v>
      </c>
      <c r="AU6" s="258"/>
      <c r="AV6" s="258">
        <v>3745</v>
      </c>
      <c r="AW6" s="258">
        <v>500</v>
      </c>
      <c r="AX6" s="258">
        <f t="shared" si="4"/>
        <v>28709</v>
      </c>
      <c r="AY6" s="350">
        <f t="shared" si="5"/>
        <v>1.2573366129032257</v>
      </c>
      <c r="AZ6" s="329">
        <f t="shared" si="6"/>
        <v>124000</v>
      </c>
      <c r="BA6" s="328">
        <f t="shared" si="7"/>
        <v>3918.7400000000002</v>
      </c>
      <c r="BB6" s="247">
        <f t="shared" si="8"/>
        <v>27991</v>
      </c>
      <c r="BC6" s="247">
        <f t="shared" si="9"/>
        <v>155909.74</v>
      </c>
      <c r="BD6" s="258">
        <f t="shared" si="10"/>
        <v>5741.8</v>
      </c>
      <c r="BE6" s="697" t="s">
        <v>619</v>
      </c>
      <c r="BF6" s="258">
        <v>139955</v>
      </c>
      <c r="BI6" s="353"/>
    </row>
    <row r="7" spans="1:86" ht="21" customHeight="1">
      <c r="A7">
        <v>6</v>
      </c>
      <c r="B7" t="s">
        <v>614</v>
      </c>
      <c r="C7" t="s">
        <v>615</v>
      </c>
      <c r="D7" t="s">
        <v>616</v>
      </c>
      <c r="E7">
        <v>8</v>
      </c>
      <c r="G7" s="330">
        <v>0.8</v>
      </c>
      <c r="H7" s="493">
        <v>1980</v>
      </c>
      <c r="I7" t="s">
        <v>617</v>
      </c>
      <c r="J7" s="348" t="str" cm="1">
        <f t="array" ref="J7">_xlfn.IFS(E7&lt;16,$CH$3,AND(15&lt;E7,E7&lt;31),$CH$4,E7&gt;30,$CH$5)</f>
        <v>1 to 15</v>
      </c>
      <c r="K7" s="258">
        <v>850000</v>
      </c>
      <c r="L7" s="258"/>
      <c r="M7" s="258"/>
      <c r="N7" s="258"/>
      <c r="O7" s="258"/>
      <c r="P7" s="258">
        <v>1240</v>
      </c>
      <c r="Q7" s="258"/>
      <c r="R7" s="258"/>
      <c r="S7" s="258">
        <v>197810</v>
      </c>
      <c r="T7" s="258">
        <f t="shared" si="0"/>
        <v>199050</v>
      </c>
      <c r="U7" s="703">
        <v>64508</v>
      </c>
      <c r="V7" s="356"/>
      <c r="W7" s="356"/>
      <c r="X7" s="356"/>
      <c r="Y7" s="356">
        <v>11496</v>
      </c>
      <c r="Z7" s="356">
        <v>6991</v>
      </c>
      <c r="AA7" s="356"/>
      <c r="AB7" s="356">
        <v>200585</v>
      </c>
      <c r="AC7" s="356">
        <f t="shared" si="1"/>
        <v>283580</v>
      </c>
      <c r="AD7" s="700">
        <f t="shared" si="2"/>
        <v>1332630</v>
      </c>
      <c r="AE7" s="258"/>
      <c r="AF7" s="258" t="s">
        <v>609</v>
      </c>
      <c r="AG7" s="258">
        <v>1332630</v>
      </c>
      <c r="AH7" s="258"/>
      <c r="AI7" s="258"/>
      <c r="AJ7" s="258"/>
      <c r="AK7" s="258"/>
      <c r="AL7" s="258"/>
      <c r="AM7" s="258"/>
      <c r="AN7" s="702">
        <f t="shared" si="3"/>
        <v>1332630</v>
      </c>
      <c r="AO7" s="258">
        <v>4000</v>
      </c>
      <c r="AP7" s="258">
        <v>9000</v>
      </c>
      <c r="AQ7" s="258">
        <v>6240</v>
      </c>
      <c r="AR7" s="258"/>
      <c r="AS7" s="258">
        <v>11300</v>
      </c>
      <c r="AT7" s="258">
        <v>4800</v>
      </c>
      <c r="AU7" s="258"/>
      <c r="AV7" s="258"/>
      <c r="AW7" s="258">
        <v>2000</v>
      </c>
      <c r="AX7" s="258">
        <f t="shared" si="4"/>
        <v>37340</v>
      </c>
      <c r="AY7" s="350">
        <f t="shared" si="5"/>
        <v>1.5678000000000001</v>
      </c>
      <c r="AZ7" s="329">
        <f t="shared" si="6"/>
        <v>106250</v>
      </c>
      <c r="BA7" s="328">
        <f t="shared" si="7"/>
        <v>24881.25</v>
      </c>
      <c r="BB7" s="247">
        <f t="shared" si="8"/>
        <v>35447.5</v>
      </c>
      <c r="BC7" s="247">
        <f t="shared" si="9"/>
        <v>166578.75</v>
      </c>
      <c r="BD7" s="258">
        <f t="shared" si="10"/>
        <v>4667.5</v>
      </c>
      <c r="BE7" s="697" t="s">
        <v>619</v>
      </c>
      <c r="BI7" s="353"/>
    </row>
    <row r="8" spans="1:86" ht="21" customHeight="1">
      <c r="A8">
        <v>7</v>
      </c>
      <c r="B8" t="s">
        <v>614</v>
      </c>
      <c r="C8" t="s">
        <v>620</v>
      </c>
      <c r="D8" t="s">
        <v>616</v>
      </c>
      <c r="E8" s="351">
        <v>23</v>
      </c>
      <c r="H8" s="493">
        <v>1978</v>
      </c>
      <c r="I8" t="s">
        <v>621</v>
      </c>
      <c r="J8" s="348" t="str" cm="1">
        <f t="array" ref="J8">_xlfn.IFS(E8&lt;16,$CH$3,AND(15&lt;E8,E8&lt;31),$CH$4,E8&gt;30,$CH$5)</f>
        <v>16 to 30</v>
      </c>
      <c r="K8" s="258">
        <v>2110000</v>
      </c>
      <c r="L8" s="258">
        <v>230000</v>
      </c>
      <c r="M8" s="258">
        <v>161000</v>
      </c>
      <c r="N8" s="258"/>
      <c r="O8" s="258">
        <v>997580</v>
      </c>
      <c r="P8" s="258">
        <v>100000</v>
      </c>
      <c r="Q8" s="258">
        <v>81678</v>
      </c>
      <c r="R8" s="258">
        <v>69829</v>
      </c>
      <c r="S8" s="258">
        <v>432944</v>
      </c>
      <c r="T8" s="258">
        <f t="shared" si="0"/>
        <v>2073031</v>
      </c>
      <c r="U8" s="258"/>
      <c r="V8" s="356"/>
      <c r="W8" s="356"/>
      <c r="X8" s="356"/>
      <c r="Y8" s="356"/>
      <c r="Z8" s="356"/>
      <c r="AA8" s="356">
        <v>476531</v>
      </c>
      <c r="AB8" s="356">
        <v>16846</v>
      </c>
      <c r="AC8" s="356">
        <f t="shared" si="1"/>
        <v>3670251</v>
      </c>
      <c r="AD8" s="700">
        <f t="shared" si="2"/>
        <v>7853282</v>
      </c>
      <c r="AE8" s="258"/>
      <c r="AF8" s="258" t="s">
        <v>603</v>
      </c>
      <c r="AG8" s="258">
        <v>341992</v>
      </c>
      <c r="AH8" s="352">
        <v>2086278</v>
      </c>
      <c r="AI8" s="352"/>
      <c r="AJ8" s="258">
        <v>2053734</v>
      </c>
      <c r="AK8" s="258">
        <f>500000+2871278</f>
        <v>3371278</v>
      </c>
      <c r="AL8" s="258"/>
      <c r="AM8" s="258"/>
      <c r="AN8" s="702">
        <f t="shared" si="3"/>
        <v>7853282</v>
      </c>
      <c r="AO8" s="258">
        <v>57500</v>
      </c>
      <c r="AP8" s="258">
        <f>10582</f>
        <v>10582</v>
      </c>
      <c r="AQ8" s="258">
        <v>24564</v>
      </c>
      <c r="AR8" s="258">
        <v>23450</v>
      </c>
      <c r="AS8" s="258">
        <v>38300</v>
      </c>
      <c r="AT8" s="258">
        <v>11500</v>
      </c>
      <c r="AU8" s="258">
        <v>65632</v>
      </c>
      <c r="AV8" s="258">
        <f>5390+1270</f>
        <v>6660</v>
      </c>
      <c r="AW8" s="258"/>
      <c r="AX8" s="258">
        <f t="shared" si="4"/>
        <v>238188</v>
      </c>
      <c r="AY8" s="350">
        <f t="shared" si="5"/>
        <v>3.7219345971563982</v>
      </c>
      <c r="AZ8" s="329">
        <f t="shared" si="6"/>
        <v>91739.130434782608</v>
      </c>
      <c r="BA8" s="328">
        <f t="shared" si="7"/>
        <v>90131.782608695648</v>
      </c>
      <c r="BB8" s="247">
        <f t="shared" si="8"/>
        <v>159576.13043478262</v>
      </c>
      <c r="BC8" s="247">
        <f t="shared" si="9"/>
        <v>341447.04347826086</v>
      </c>
      <c r="BD8" s="258">
        <f t="shared" si="10"/>
        <v>10356</v>
      </c>
      <c r="BE8" s="706"/>
      <c r="BF8" s="258">
        <v>3176874</v>
      </c>
      <c r="BI8" s="353"/>
    </row>
    <row r="9" spans="1:86" ht="21" customHeight="1">
      <c r="A9">
        <v>8</v>
      </c>
      <c r="B9" t="s">
        <v>614</v>
      </c>
      <c r="C9" t="s">
        <v>622</v>
      </c>
      <c r="D9" t="s">
        <v>616</v>
      </c>
      <c r="E9">
        <v>29</v>
      </c>
      <c r="G9" s="330">
        <v>0.45</v>
      </c>
      <c r="H9" s="493">
        <v>1925</v>
      </c>
      <c r="I9" t="s">
        <v>617</v>
      </c>
      <c r="J9" s="348" t="str" cm="1">
        <f t="array" ref="J9">_xlfn.IFS(E9&lt;16,$CH$3,AND(15&lt;E9,E9&lt;31),$CH$4,E9&gt;30,$CH$5)</f>
        <v>16 to 30</v>
      </c>
      <c r="K9" s="356">
        <v>3597934</v>
      </c>
      <c r="L9" s="356">
        <f>125000</f>
        <v>125000</v>
      </c>
      <c r="M9" s="356">
        <v>290000</v>
      </c>
      <c r="N9" s="356">
        <v>957000</v>
      </c>
      <c r="O9" s="356">
        <v>360000</v>
      </c>
      <c r="P9" s="356">
        <v>125000</v>
      </c>
      <c r="Q9" s="356">
        <v>182086</v>
      </c>
      <c r="R9" s="356">
        <f>59901+397658</f>
        <v>457559</v>
      </c>
      <c r="S9" s="356">
        <v>153014</v>
      </c>
      <c r="T9" s="356">
        <f t="shared" si="0"/>
        <v>2649659</v>
      </c>
      <c r="U9" s="356">
        <v>537752</v>
      </c>
      <c r="V9" s="356"/>
      <c r="W9" s="356"/>
      <c r="X9" s="356"/>
      <c r="Y9" s="356">
        <v>148100</v>
      </c>
      <c r="Z9" s="356"/>
      <c r="AA9" s="356">
        <v>367388</v>
      </c>
      <c r="AB9" s="356"/>
      <c r="AC9" s="258">
        <f t="shared" si="1"/>
        <v>4041266</v>
      </c>
      <c r="AD9" s="702">
        <f t="shared" si="2"/>
        <v>10288859</v>
      </c>
      <c r="AE9" s="356"/>
      <c r="AF9" s="356" t="s">
        <v>603</v>
      </c>
      <c r="AG9" s="356"/>
      <c r="AH9" s="703">
        <v>280000</v>
      </c>
      <c r="AI9" s="703"/>
      <c r="AJ9" s="356">
        <v>478618</v>
      </c>
      <c r="AK9" s="356"/>
      <c r="AL9" s="356">
        <v>9530241</v>
      </c>
      <c r="AM9" s="356"/>
      <c r="AN9" s="702">
        <f t="shared" si="3"/>
        <v>10288859</v>
      </c>
      <c r="AO9" s="356">
        <v>50166</v>
      </c>
      <c r="AP9" s="356">
        <v>13768</v>
      </c>
      <c r="AQ9" s="356">
        <v>26100</v>
      </c>
      <c r="AR9" s="356">
        <v>18509</v>
      </c>
      <c r="AS9" s="356">
        <v>26549</v>
      </c>
      <c r="AT9" s="356">
        <v>14500</v>
      </c>
      <c r="AU9" s="356">
        <v>76811</v>
      </c>
      <c r="AV9" s="356"/>
      <c r="AW9" s="356">
        <f>5772+50</f>
        <v>5822</v>
      </c>
      <c r="AX9" s="356">
        <f t="shared" si="4"/>
        <v>232225</v>
      </c>
      <c r="AY9" s="695">
        <f t="shared" si="5"/>
        <v>2.859657514562524</v>
      </c>
      <c r="AZ9" s="329">
        <f t="shared" si="6"/>
        <v>124066.68965517242</v>
      </c>
      <c r="BA9" s="328">
        <f t="shared" si="7"/>
        <v>91367.551724137928</v>
      </c>
      <c r="BB9" s="247">
        <f t="shared" si="8"/>
        <v>139354</v>
      </c>
      <c r="BC9" s="247">
        <f t="shared" si="9"/>
        <v>354788.24137931032</v>
      </c>
      <c r="BD9" s="356">
        <f t="shared" si="10"/>
        <v>8007.7586206896549</v>
      </c>
      <c r="BE9" s="696" t="s">
        <v>623</v>
      </c>
      <c r="BF9" s="356">
        <v>2988026</v>
      </c>
      <c r="BI9" s="353"/>
    </row>
    <row r="10" spans="1:86" ht="21" customHeight="1">
      <c r="A10">
        <v>9</v>
      </c>
      <c r="B10" t="s">
        <v>624</v>
      </c>
      <c r="C10" t="s">
        <v>625</v>
      </c>
      <c r="D10" t="s">
        <v>626</v>
      </c>
      <c r="E10">
        <v>4</v>
      </c>
      <c r="G10" s="330">
        <v>0.8</v>
      </c>
      <c r="H10" s="493">
        <v>1989</v>
      </c>
      <c r="I10" t="s">
        <v>617</v>
      </c>
      <c r="J10" s="348" t="str" cm="1">
        <f t="array" ref="J10">_xlfn.IFS(E10&lt;16,$CH$3,AND(15&lt;E10,E10&lt;31),$CH$4,E10&gt;30,$CH$5)</f>
        <v>1 to 15</v>
      </c>
      <c r="K10" s="356">
        <v>1150000</v>
      </c>
      <c r="L10" s="356">
        <v>10000</v>
      </c>
      <c r="M10" s="356">
        <v>40000</v>
      </c>
      <c r="N10" s="356">
        <v>80000</v>
      </c>
      <c r="O10" s="356">
        <v>49589</v>
      </c>
      <c r="P10" s="356">
        <v>15000</v>
      </c>
      <c r="Q10" s="356"/>
      <c r="R10" s="356">
        <v>24700</v>
      </c>
      <c r="S10" s="356">
        <f>6355+36000+16000</f>
        <v>58355</v>
      </c>
      <c r="T10" s="356">
        <f t="shared" si="0"/>
        <v>277644</v>
      </c>
      <c r="U10" s="356">
        <v>69428</v>
      </c>
      <c r="V10" s="356">
        <v>4800</v>
      </c>
      <c r="W10" s="356">
        <v>71650</v>
      </c>
      <c r="X10" s="356"/>
      <c r="Y10" s="356">
        <v>20000</v>
      </c>
      <c r="Z10" s="356">
        <v>5200</v>
      </c>
      <c r="AA10" s="356">
        <v>52998</v>
      </c>
      <c r="AB10" s="356">
        <v>204833</v>
      </c>
      <c r="AC10" s="258">
        <f t="shared" si="1"/>
        <v>428909</v>
      </c>
      <c r="AD10" s="702">
        <f t="shared" si="2"/>
        <v>1856553</v>
      </c>
      <c r="AE10" s="356"/>
      <c r="AF10" s="356" t="s">
        <v>609</v>
      </c>
      <c r="AG10" s="356">
        <v>85853</v>
      </c>
      <c r="AH10" s="703">
        <v>570700</v>
      </c>
      <c r="AI10" s="703">
        <v>1200000</v>
      </c>
      <c r="AJ10" s="356"/>
      <c r="AK10" s="356"/>
      <c r="AL10" s="356"/>
      <c r="AM10" s="356"/>
      <c r="AN10" s="702">
        <f t="shared" si="3"/>
        <v>1856553</v>
      </c>
      <c r="AO10" s="356">
        <v>2640</v>
      </c>
      <c r="AP10" s="356">
        <v>2888</v>
      </c>
      <c r="AQ10" s="356">
        <v>3120</v>
      </c>
      <c r="AR10" s="356">
        <v>4281</v>
      </c>
      <c r="AS10" s="356">
        <v>2400</v>
      </c>
      <c r="AT10" s="356">
        <v>2000</v>
      </c>
      <c r="AU10" s="356"/>
      <c r="AV10" s="356"/>
      <c r="AW10" s="356">
        <v>26991</v>
      </c>
      <c r="AX10" s="356">
        <f t="shared" si="4"/>
        <v>44320</v>
      </c>
      <c r="AY10" s="695">
        <f t="shared" si="5"/>
        <v>1.6143939130434783</v>
      </c>
      <c r="AZ10" s="329">
        <f t="shared" si="6"/>
        <v>287500</v>
      </c>
      <c r="BA10" s="328">
        <f t="shared" si="7"/>
        <v>69411</v>
      </c>
      <c r="BB10" s="247">
        <f t="shared" si="8"/>
        <v>107227.25</v>
      </c>
      <c r="BC10" s="247">
        <f t="shared" si="9"/>
        <v>464138.25</v>
      </c>
      <c r="BD10" s="356">
        <f t="shared" si="10"/>
        <v>11080</v>
      </c>
      <c r="BE10" s="697"/>
      <c r="BF10" s="356"/>
      <c r="BI10" s="353"/>
    </row>
    <row r="11" spans="1:86" ht="21" customHeight="1">
      <c r="A11">
        <v>10</v>
      </c>
      <c r="B11" t="s">
        <v>624</v>
      </c>
      <c r="C11" t="s">
        <v>625</v>
      </c>
      <c r="D11" t="s">
        <v>626</v>
      </c>
      <c r="E11">
        <v>16</v>
      </c>
      <c r="G11" s="330">
        <v>0.8</v>
      </c>
      <c r="H11" s="493">
        <v>1964</v>
      </c>
      <c r="I11" t="s">
        <v>627</v>
      </c>
      <c r="J11" s="348" t="str" cm="1">
        <f t="array" ref="J11">_xlfn.IFS(E11&lt;16,$CH$3,AND(15&lt;E11,E11&lt;31),$CH$4,E11&gt;30,$CH$5)</f>
        <v>16 to 30</v>
      </c>
      <c r="K11" s="258">
        <v>3000000</v>
      </c>
      <c r="L11" s="258">
        <v>149908.73000000001</v>
      </c>
      <c r="M11" s="258">
        <v>160785</v>
      </c>
      <c r="N11" s="258">
        <v>379917.92</v>
      </c>
      <c r="O11" s="258">
        <v>75943.81</v>
      </c>
      <c r="P11" s="258">
        <v>2217.77</v>
      </c>
      <c r="Q11" s="258">
        <v>50000</v>
      </c>
      <c r="R11" s="258">
        <v>92135.83</v>
      </c>
      <c r="S11" s="258">
        <f>949748.52-636524.52</f>
        <v>313224</v>
      </c>
      <c r="T11" s="258">
        <f t="shared" si="0"/>
        <v>1224133.06</v>
      </c>
      <c r="U11" s="258">
        <v>503963.55</v>
      </c>
      <c r="V11" s="258"/>
      <c r="W11" s="258">
        <v>1980185.5</v>
      </c>
      <c r="X11" s="258"/>
      <c r="Y11" s="710">
        <v>79076</v>
      </c>
      <c r="Z11" s="710"/>
      <c r="AA11" s="710">
        <v>413943.35</v>
      </c>
      <c r="AB11" s="258">
        <v>636524.52</v>
      </c>
      <c r="AC11" s="258">
        <f t="shared" si="1"/>
        <v>3613692.92</v>
      </c>
      <c r="AD11" s="700">
        <f t="shared" si="2"/>
        <v>7837825.9800000004</v>
      </c>
      <c r="AE11" s="258"/>
      <c r="AF11" s="258" t="s">
        <v>603</v>
      </c>
      <c r="AG11" s="258">
        <v>1233903</v>
      </c>
      <c r="AH11" s="352">
        <v>1600000</v>
      </c>
      <c r="AI11" s="352">
        <v>4800000</v>
      </c>
      <c r="AJ11" s="258"/>
      <c r="AK11" s="258"/>
      <c r="AL11" s="258"/>
      <c r="AM11" s="258">
        <v>203923</v>
      </c>
      <c r="AN11" s="700">
        <f t="shared" si="3"/>
        <v>7837826</v>
      </c>
      <c r="AO11" s="258"/>
      <c r="AP11" s="258"/>
      <c r="AQ11" s="258"/>
      <c r="AR11" s="258"/>
      <c r="AS11" s="258"/>
      <c r="AT11" s="258"/>
      <c r="AU11" s="258"/>
      <c r="AV11" s="258"/>
      <c r="AW11" s="258"/>
      <c r="AX11" s="356">
        <f t="shared" si="4"/>
        <v>0</v>
      </c>
      <c r="AY11" s="350">
        <f t="shared" si="5"/>
        <v>2.6126086600000002</v>
      </c>
      <c r="AZ11" s="329">
        <f t="shared" si="6"/>
        <v>187500</v>
      </c>
      <c r="BA11" s="328">
        <f t="shared" si="7"/>
        <v>76508.316250000003</v>
      </c>
      <c r="BB11" s="247">
        <f t="shared" si="8"/>
        <v>225855.8075</v>
      </c>
      <c r="BC11" s="247">
        <f t="shared" si="9"/>
        <v>489864.12375000003</v>
      </c>
      <c r="BD11" s="356"/>
      <c r="BE11" s="697"/>
      <c r="BI11" s="353"/>
    </row>
    <row r="12" spans="1:86" ht="21" customHeight="1">
      <c r="A12">
        <v>11</v>
      </c>
      <c r="B12" t="s">
        <v>598</v>
      </c>
      <c r="C12" t="s">
        <v>625</v>
      </c>
      <c r="D12" t="s">
        <v>626</v>
      </c>
      <c r="E12">
        <v>17</v>
      </c>
      <c r="G12" s="330">
        <v>0.3</v>
      </c>
      <c r="J12" s="348" t="str" cm="1">
        <f t="array" ref="J12">_xlfn.IFS(E12&lt;16,$CH$3,AND(15&lt;E12,E12&lt;31),$CH$4,E12&gt;30,$CH$5)</f>
        <v>16 to 30</v>
      </c>
      <c r="K12" s="258">
        <v>3050000</v>
      </c>
      <c r="L12" s="258">
        <f>20000+10000</f>
        <v>30000</v>
      </c>
      <c r="M12" s="258"/>
      <c r="N12" s="258"/>
      <c r="O12" s="258">
        <f>4000+14900+2006</f>
        <v>20906</v>
      </c>
      <c r="P12" s="258"/>
      <c r="Q12" s="258"/>
      <c r="R12" s="258">
        <f>25500+15686</f>
        <v>41186</v>
      </c>
      <c r="S12" s="258">
        <f>40940+22875+310+3534</f>
        <v>67659</v>
      </c>
      <c r="T12" s="258">
        <f t="shared" si="0"/>
        <v>159751</v>
      </c>
      <c r="U12" s="258"/>
      <c r="V12" s="258"/>
      <c r="W12" s="258"/>
      <c r="X12" s="258"/>
      <c r="Y12" s="710"/>
      <c r="Z12" s="710"/>
      <c r="AA12" s="710"/>
      <c r="AB12" s="258"/>
      <c r="AC12" s="258">
        <f t="shared" si="1"/>
        <v>2108840</v>
      </c>
      <c r="AD12" s="700">
        <f t="shared" si="2"/>
        <v>5318591</v>
      </c>
      <c r="AE12" s="258"/>
      <c r="AF12" s="258" t="s">
        <v>618</v>
      </c>
      <c r="AG12" s="258"/>
      <c r="AH12" s="352">
        <v>1568591</v>
      </c>
      <c r="AI12" s="352">
        <v>3750000</v>
      </c>
      <c r="AJ12" s="258"/>
      <c r="AK12" s="258"/>
      <c r="AL12" s="258"/>
      <c r="AM12" s="258"/>
      <c r="AN12" s="700">
        <f t="shared" si="3"/>
        <v>5318591</v>
      </c>
      <c r="AO12" s="258">
        <v>34076</v>
      </c>
      <c r="AP12" s="258">
        <v>50289</v>
      </c>
      <c r="AQ12" s="258">
        <v>24228</v>
      </c>
      <c r="AR12" s="258">
        <v>1717</v>
      </c>
      <c r="AS12" s="258">
        <v>24600</v>
      </c>
      <c r="AT12" s="258">
        <v>16000</v>
      </c>
      <c r="AU12" s="258"/>
      <c r="AV12" s="258">
        <v>99002</v>
      </c>
      <c r="AW12" s="258">
        <v>13214</v>
      </c>
      <c r="AX12" s="258">
        <f t="shared" si="4"/>
        <v>263126</v>
      </c>
      <c r="AY12" s="350">
        <f t="shared" si="5"/>
        <v>1.7438003278688525</v>
      </c>
      <c r="AZ12" s="329">
        <f t="shared" si="6"/>
        <v>179411.76470588235</v>
      </c>
      <c r="BA12" s="328">
        <f t="shared" si="7"/>
        <v>9397.1176470588234</v>
      </c>
      <c r="BB12" s="247">
        <f t="shared" si="8"/>
        <v>124049.41176470589</v>
      </c>
      <c r="BC12" s="247">
        <f t="shared" si="9"/>
        <v>312858.29411764705</v>
      </c>
      <c r="BD12" s="258">
        <f t="shared" si="10"/>
        <v>15478</v>
      </c>
      <c r="BE12" s="697"/>
      <c r="BF12" s="258">
        <v>2108840</v>
      </c>
      <c r="BI12" s="353"/>
    </row>
    <row r="13" spans="1:86" ht="21" customHeight="1">
      <c r="A13">
        <v>12</v>
      </c>
      <c r="B13" t="s">
        <v>614</v>
      </c>
      <c r="C13" t="s">
        <v>625</v>
      </c>
      <c r="D13" t="s">
        <v>626</v>
      </c>
      <c r="E13">
        <v>25</v>
      </c>
      <c r="G13" s="330">
        <v>0.6</v>
      </c>
      <c r="H13" s="493" t="s">
        <v>628</v>
      </c>
      <c r="I13" t="s">
        <v>629</v>
      </c>
      <c r="J13" s="348" t="str" cm="1">
        <f t="array" ref="J13">_xlfn.IFS(E13&lt;16,$CH$3,AND(15&lt;E13,E13&lt;31),$CH$4,E13&gt;30,$CH$5)</f>
        <v>16 to 30</v>
      </c>
      <c r="K13" s="352">
        <v>3800000</v>
      </c>
      <c r="L13" s="258"/>
      <c r="M13" s="352"/>
      <c r="N13" s="258"/>
      <c r="O13" s="352"/>
      <c r="P13" s="352"/>
      <c r="Q13" s="352"/>
      <c r="R13" s="352"/>
      <c r="S13" s="352"/>
      <c r="T13" s="258">
        <f t="shared" si="0"/>
        <v>0</v>
      </c>
      <c r="U13" s="352"/>
      <c r="V13" s="352"/>
      <c r="W13" s="352"/>
      <c r="X13" s="352"/>
      <c r="Y13" s="711"/>
      <c r="Z13" s="711"/>
      <c r="AA13" s="711"/>
      <c r="AB13" s="352"/>
      <c r="AC13" s="258">
        <f t="shared" si="1"/>
        <v>6615129</v>
      </c>
      <c r="AD13" s="700">
        <f t="shared" si="2"/>
        <v>10415129</v>
      </c>
      <c r="AE13" s="352" t="s">
        <v>630</v>
      </c>
      <c r="AF13" s="258" t="s">
        <v>618</v>
      </c>
      <c r="AG13" s="352"/>
      <c r="AH13" s="352">
        <v>2588356</v>
      </c>
      <c r="AI13" s="352">
        <v>7500000</v>
      </c>
      <c r="AJ13" s="258"/>
      <c r="AK13" s="258"/>
      <c r="AL13" s="258"/>
      <c r="AM13" s="352">
        <v>326773</v>
      </c>
      <c r="AN13" s="700">
        <f t="shared" si="3"/>
        <v>10415129</v>
      </c>
      <c r="AO13" s="352"/>
      <c r="AP13" s="352"/>
      <c r="AQ13" s="352"/>
      <c r="AR13" s="352"/>
      <c r="AS13" s="352"/>
      <c r="AT13" s="352"/>
      <c r="AU13" s="258"/>
      <c r="AV13" s="352"/>
      <c r="AW13" s="258"/>
      <c r="AX13" s="356">
        <f t="shared" si="4"/>
        <v>0</v>
      </c>
      <c r="AY13" s="350">
        <f t="shared" si="5"/>
        <v>2.7408234210526317</v>
      </c>
      <c r="AZ13" s="329">
        <f t="shared" si="6"/>
        <v>152000</v>
      </c>
      <c r="BA13" s="328"/>
      <c r="BB13" s="247">
        <f t="shared" si="8"/>
        <v>264605.15999999997</v>
      </c>
      <c r="BC13" s="247">
        <f t="shared" si="9"/>
        <v>416605.16</v>
      </c>
      <c r="BD13" s="258">
        <v>13535</v>
      </c>
      <c r="BE13" s="697" t="s">
        <v>631</v>
      </c>
      <c r="BF13" s="258">
        <v>6615129</v>
      </c>
      <c r="BI13" s="353"/>
    </row>
    <row r="14" spans="1:86" ht="21" customHeight="1">
      <c r="A14">
        <v>13</v>
      </c>
      <c r="B14" t="s">
        <v>614</v>
      </c>
      <c r="C14" t="s">
        <v>625</v>
      </c>
      <c r="D14" t="s">
        <v>626</v>
      </c>
      <c r="E14">
        <v>55</v>
      </c>
      <c r="G14" s="330">
        <v>0.6</v>
      </c>
      <c r="H14" s="493">
        <v>1959</v>
      </c>
      <c r="I14" t="s">
        <v>602</v>
      </c>
      <c r="J14" s="348" t="str" cm="1">
        <f t="array" ref="J14">_xlfn.IFS(E14&lt;16,$CH$3,AND(15&lt;E14,E14&lt;31),$CH$4,E14&gt;30,$CH$5)</f>
        <v>31+</v>
      </c>
      <c r="K14" s="352">
        <v>9615600</v>
      </c>
      <c r="L14" s="352"/>
      <c r="M14" s="352"/>
      <c r="N14" s="352"/>
      <c r="O14" s="352"/>
      <c r="P14" s="352"/>
      <c r="Q14" s="352"/>
      <c r="R14" s="352"/>
      <c r="S14" s="352"/>
      <c r="T14" s="258">
        <f t="shared" si="0"/>
        <v>0</v>
      </c>
      <c r="U14" s="352"/>
      <c r="V14" s="352"/>
      <c r="W14" s="352"/>
      <c r="X14" s="352"/>
      <c r="Y14" s="711"/>
      <c r="Z14" s="711"/>
      <c r="AA14" s="711"/>
      <c r="AB14" s="352"/>
      <c r="AC14" s="258">
        <f t="shared" si="1"/>
        <v>9274904</v>
      </c>
      <c r="AD14" s="700">
        <f t="shared" si="2"/>
        <v>18890504</v>
      </c>
      <c r="AE14" s="352" t="s">
        <v>630</v>
      </c>
      <c r="AF14" s="258" t="s">
        <v>618</v>
      </c>
      <c r="AG14" s="352"/>
      <c r="AH14" s="352">
        <v>3792000</v>
      </c>
      <c r="AI14" s="352">
        <v>7500000</v>
      </c>
      <c r="AJ14" s="258"/>
      <c r="AK14" s="258"/>
      <c r="AL14" s="258"/>
      <c r="AM14" s="352">
        <f>4298504+3300000</f>
        <v>7598504</v>
      </c>
      <c r="AN14" s="700">
        <f t="shared" si="3"/>
        <v>18890504</v>
      </c>
      <c r="AO14" s="352"/>
      <c r="AP14" s="352"/>
      <c r="AQ14" s="352"/>
      <c r="AR14" s="352"/>
      <c r="AS14" s="352"/>
      <c r="AT14" s="352"/>
      <c r="AU14" s="258"/>
      <c r="AV14" s="352"/>
      <c r="AW14" s="258"/>
      <c r="AX14" s="356">
        <f t="shared" si="4"/>
        <v>0</v>
      </c>
      <c r="AY14" s="350">
        <f t="shared" si="5"/>
        <v>1.9645684096676235</v>
      </c>
      <c r="AZ14" s="329">
        <f t="shared" si="6"/>
        <v>174829.09090909091</v>
      </c>
      <c r="BA14" s="328"/>
      <c r="BB14" s="247">
        <f t="shared" si="8"/>
        <v>168634.61818181819</v>
      </c>
      <c r="BC14" s="247">
        <f t="shared" si="9"/>
        <v>343463.70909090911</v>
      </c>
      <c r="BD14" s="258">
        <v>13907</v>
      </c>
      <c r="BE14" s="697" t="s">
        <v>632</v>
      </c>
      <c r="BF14" s="258">
        <v>9274904</v>
      </c>
      <c r="BI14" s="353"/>
    </row>
    <row r="15" spans="1:86" ht="21" customHeight="1">
      <c r="A15">
        <v>15</v>
      </c>
      <c r="B15" t="s">
        <v>624</v>
      </c>
      <c r="C15" t="s">
        <v>625</v>
      </c>
      <c r="D15" t="s">
        <v>626</v>
      </c>
      <c r="E15">
        <v>3</v>
      </c>
      <c r="G15" s="330">
        <v>0.8</v>
      </c>
      <c r="I15" t="s">
        <v>629</v>
      </c>
      <c r="J15" s="348" t="str" cm="1">
        <f t="array" ref="J15">_xlfn.IFS(E15&lt;16,$CH$3,AND(15&lt;E15,E15&lt;31),$CH$4,E15&gt;30,$CH$5)</f>
        <v>1 to 15</v>
      </c>
      <c r="K15" s="258">
        <v>1055350</v>
      </c>
      <c r="L15" s="258"/>
      <c r="M15" s="258">
        <v>41000</v>
      </c>
      <c r="N15" s="258">
        <v>90000</v>
      </c>
      <c r="O15" s="258"/>
      <c r="P15" s="258"/>
      <c r="Q15" s="258"/>
      <c r="R15" s="258"/>
      <c r="S15" s="258">
        <f>1848911-131000-AC15-K15</f>
        <v>105191</v>
      </c>
      <c r="T15" s="258">
        <f t="shared" si="0"/>
        <v>236191</v>
      </c>
      <c r="U15" s="258"/>
      <c r="V15" s="258">
        <v>15000</v>
      </c>
      <c r="W15" s="258">
        <v>42000</v>
      </c>
      <c r="X15" s="258">
        <v>11500</v>
      </c>
      <c r="Y15" s="710">
        <v>10000</v>
      </c>
      <c r="Z15" s="710">
        <v>4500</v>
      </c>
      <c r="AA15" s="710">
        <v>97170</v>
      </c>
      <c r="AB15" s="258">
        <v>377200</v>
      </c>
      <c r="AC15" s="258">
        <f t="shared" si="1"/>
        <v>557370</v>
      </c>
      <c r="AD15" s="700">
        <f t="shared" si="2"/>
        <v>1848911</v>
      </c>
      <c r="AE15" s="258"/>
      <c r="AF15" s="258" t="s">
        <v>609</v>
      </c>
      <c r="AG15" s="258">
        <v>159041</v>
      </c>
      <c r="AH15" s="258">
        <v>535000</v>
      </c>
      <c r="AI15" s="258">
        <v>900000</v>
      </c>
      <c r="AJ15" s="258"/>
      <c r="AK15" s="258"/>
      <c r="AL15" s="258"/>
      <c r="AM15" s="258">
        <f>AD15-SUM(AG15:AL15)</f>
        <v>254870</v>
      </c>
      <c r="AN15" s="700">
        <f t="shared" si="3"/>
        <v>1848911</v>
      </c>
      <c r="AO15" s="258"/>
      <c r="AP15" s="258">
        <v>3540</v>
      </c>
      <c r="AQ15" s="258">
        <v>1845</v>
      </c>
      <c r="AR15" s="258">
        <f>676+314+1863+414</f>
        <v>3267</v>
      </c>
      <c r="AS15" s="258">
        <v>1553</v>
      </c>
      <c r="AT15" s="258">
        <v>1553</v>
      </c>
      <c r="AU15" s="258"/>
      <c r="AV15" s="258">
        <f>2347</f>
        <v>2347</v>
      </c>
      <c r="AW15" s="258">
        <f>5587+4229</f>
        <v>9816</v>
      </c>
      <c r="AX15" s="356">
        <f t="shared" si="4"/>
        <v>23921</v>
      </c>
      <c r="AY15" s="350">
        <f t="shared" si="5"/>
        <v>1.7519410622068508</v>
      </c>
      <c r="AZ15" s="329">
        <f t="shared" si="6"/>
        <v>351783.33333333331</v>
      </c>
      <c r="BA15" s="328">
        <f t="shared" si="7"/>
        <v>78730.333333333328</v>
      </c>
      <c r="BB15" s="247">
        <f t="shared" si="8"/>
        <v>185790</v>
      </c>
      <c r="BC15" s="247">
        <f t="shared" si="9"/>
        <v>616303.66666666663</v>
      </c>
      <c r="BD15" s="356">
        <f t="shared" ref="BD15:BD27" si="11">AX15/E15</f>
        <v>7973.666666666667</v>
      </c>
      <c r="BE15" s="697" t="s">
        <v>633</v>
      </c>
      <c r="BI15" s="353"/>
    </row>
    <row r="16" spans="1:86" ht="21" customHeight="1">
      <c r="A16">
        <v>16</v>
      </c>
      <c r="B16" t="s">
        <v>624</v>
      </c>
      <c r="C16" s="348" t="s">
        <v>634</v>
      </c>
      <c r="D16" s="348" t="s">
        <v>608</v>
      </c>
      <c r="E16" s="348">
        <v>2</v>
      </c>
      <c r="F16" s="348"/>
      <c r="G16" s="330">
        <v>0.4</v>
      </c>
      <c r="H16" s="922">
        <v>1940</v>
      </c>
      <c r="I16" s="348" t="s">
        <v>602</v>
      </c>
      <c r="J16" s="348" t="str" cm="1">
        <f t="array" ref="J16">_xlfn.IFS(E16&lt;16,$CH$3,AND(15&lt;E16,E16&lt;31),$CH$4,E16&gt;30,$CH$5)</f>
        <v>1 to 15</v>
      </c>
      <c r="K16" s="352">
        <v>475000</v>
      </c>
      <c r="L16" s="258">
        <v>15468</v>
      </c>
      <c r="M16" s="352">
        <v>62889</v>
      </c>
      <c r="N16" s="352">
        <v>53488</v>
      </c>
      <c r="O16" s="258">
        <v>25959</v>
      </c>
      <c r="P16" s="258">
        <v>6015</v>
      </c>
      <c r="Q16" s="352">
        <v>2485</v>
      </c>
      <c r="R16" s="258">
        <v>1600</v>
      </c>
      <c r="S16" s="258">
        <v>69478</v>
      </c>
      <c r="T16" s="258">
        <f t="shared" si="0"/>
        <v>237382</v>
      </c>
      <c r="U16" s="352"/>
      <c r="V16" s="258">
        <v>945</v>
      </c>
      <c r="W16" s="258">
        <v>112050</v>
      </c>
      <c r="X16" s="258">
        <v>2450</v>
      </c>
      <c r="Y16" s="710">
        <v>5460</v>
      </c>
      <c r="Z16" s="711"/>
      <c r="AA16" s="710">
        <v>21767</v>
      </c>
      <c r="AB16" s="258">
        <v>25218</v>
      </c>
      <c r="AC16" s="258">
        <f t="shared" si="1"/>
        <v>167890</v>
      </c>
      <c r="AD16" s="700">
        <f t="shared" si="2"/>
        <v>880272</v>
      </c>
      <c r="AE16" s="352"/>
      <c r="AF16" s="258" t="s">
        <v>609</v>
      </c>
      <c r="AG16" s="352">
        <v>96041</v>
      </c>
      <c r="AH16" s="352">
        <v>60000</v>
      </c>
      <c r="AI16" s="352"/>
      <c r="AJ16" s="352">
        <v>724231</v>
      </c>
      <c r="AK16" s="258"/>
      <c r="AL16" s="258"/>
      <c r="AM16" s="352"/>
      <c r="AN16" s="700">
        <f t="shared" si="3"/>
        <v>880272</v>
      </c>
      <c r="AO16" s="352">
        <v>3928</v>
      </c>
      <c r="AP16" s="352">
        <v>3081</v>
      </c>
      <c r="AQ16" s="352">
        <v>1440</v>
      </c>
      <c r="AR16" s="352"/>
      <c r="AS16" s="352">
        <v>3720</v>
      </c>
      <c r="AT16" s="352">
        <v>1000</v>
      </c>
      <c r="AU16" s="258"/>
      <c r="AV16" s="352">
        <v>330</v>
      </c>
      <c r="AW16" s="258">
        <v>4721</v>
      </c>
      <c r="AX16" s="258">
        <f t="shared" si="4"/>
        <v>18220</v>
      </c>
      <c r="AY16" s="350">
        <f t="shared" si="5"/>
        <v>1.8532042105263158</v>
      </c>
      <c r="AZ16" s="329">
        <f t="shared" si="6"/>
        <v>237500</v>
      </c>
      <c r="BA16" s="328">
        <f t="shared" si="7"/>
        <v>118691</v>
      </c>
      <c r="BB16" s="247">
        <f t="shared" si="8"/>
        <v>83945</v>
      </c>
      <c r="BC16" s="247">
        <f t="shared" si="9"/>
        <v>440136</v>
      </c>
      <c r="BD16" s="258">
        <f t="shared" si="11"/>
        <v>9110</v>
      </c>
      <c r="BE16" s="697"/>
      <c r="BI16" s="353"/>
    </row>
    <row r="17" spans="1:63" ht="21" customHeight="1">
      <c r="A17">
        <v>17</v>
      </c>
      <c r="B17" t="s">
        <v>624</v>
      </c>
      <c r="C17" s="348" t="s">
        <v>634</v>
      </c>
      <c r="D17" s="348" t="s">
        <v>608</v>
      </c>
      <c r="E17" s="348">
        <v>4</v>
      </c>
      <c r="F17" s="348"/>
      <c r="G17" s="330">
        <v>0.4</v>
      </c>
      <c r="H17" s="922">
        <v>1905</v>
      </c>
      <c r="I17" s="348" t="s">
        <v>602</v>
      </c>
      <c r="J17" s="348" t="str" cm="1">
        <f t="array" ref="J17">_xlfn.IFS(E17&lt;16,$CH$3,AND(15&lt;E17,E17&lt;31),$CH$4,E17&gt;30,$CH$5)</f>
        <v>1 to 15</v>
      </c>
      <c r="K17" s="352">
        <v>920000</v>
      </c>
      <c r="L17" s="352">
        <v>6191</v>
      </c>
      <c r="M17" s="352">
        <v>48000</v>
      </c>
      <c r="N17" s="352">
        <v>65643</v>
      </c>
      <c r="O17" s="352">
        <v>7611</v>
      </c>
      <c r="P17" s="352">
        <v>9374</v>
      </c>
      <c r="Q17" s="352">
        <v>37523</v>
      </c>
      <c r="R17" s="354">
        <v>7882</v>
      </c>
      <c r="S17" s="352">
        <v>74187</v>
      </c>
      <c r="T17" s="258">
        <f t="shared" si="0"/>
        <v>256411</v>
      </c>
      <c r="U17" s="352">
        <v>30000</v>
      </c>
      <c r="V17" s="352">
        <v>44986</v>
      </c>
      <c r="W17" s="352">
        <v>180135</v>
      </c>
      <c r="X17" s="352"/>
      <c r="Y17" s="711"/>
      <c r="Z17" s="711">
        <v>0</v>
      </c>
      <c r="AA17" s="712">
        <v>32172</v>
      </c>
      <c r="AB17" s="352">
        <v>91672</v>
      </c>
      <c r="AC17" s="258">
        <f t="shared" si="1"/>
        <v>378965</v>
      </c>
      <c r="AD17" s="700">
        <f t="shared" si="2"/>
        <v>1555376</v>
      </c>
      <c r="AE17" s="352"/>
      <c r="AF17" s="258" t="s">
        <v>609</v>
      </c>
      <c r="AG17" s="352">
        <v>175000</v>
      </c>
      <c r="AH17" s="352">
        <v>107376</v>
      </c>
      <c r="AI17" s="352"/>
      <c r="AJ17" s="258">
        <v>1273000</v>
      </c>
      <c r="AK17" s="258"/>
      <c r="AL17" s="258"/>
      <c r="AM17" s="352"/>
      <c r="AN17" s="700">
        <f t="shared" si="3"/>
        <v>1555376</v>
      </c>
      <c r="AO17" s="352">
        <v>7050</v>
      </c>
      <c r="AP17" s="352">
        <v>15000</v>
      </c>
      <c r="AQ17" s="352">
        <v>2800</v>
      </c>
      <c r="AR17" s="352">
        <v>3584</v>
      </c>
      <c r="AS17" s="352">
        <v>4560</v>
      </c>
      <c r="AT17" s="352">
        <v>2000</v>
      </c>
      <c r="AU17" s="258"/>
      <c r="AV17" s="352">
        <v>660</v>
      </c>
      <c r="AW17" s="258">
        <v>3850</v>
      </c>
      <c r="AX17" s="258">
        <f t="shared" si="4"/>
        <v>39504</v>
      </c>
      <c r="AY17" s="350">
        <f t="shared" si="5"/>
        <v>1.6906260869565217</v>
      </c>
      <c r="AZ17" s="329">
        <f t="shared" si="6"/>
        <v>230000</v>
      </c>
      <c r="BA17" s="328">
        <f t="shared" si="7"/>
        <v>64102.75</v>
      </c>
      <c r="BB17" s="247">
        <f t="shared" si="8"/>
        <v>94741.25</v>
      </c>
      <c r="BC17" s="247">
        <f t="shared" si="9"/>
        <v>388844</v>
      </c>
      <c r="BD17" s="258">
        <f t="shared" si="11"/>
        <v>9876</v>
      </c>
      <c r="BE17" s="697"/>
      <c r="BI17" s="353"/>
    </row>
    <row r="18" spans="1:63" ht="21" customHeight="1">
      <c r="A18">
        <v>18</v>
      </c>
      <c r="B18" t="s">
        <v>624</v>
      </c>
      <c r="C18" s="348" t="s">
        <v>634</v>
      </c>
      <c r="D18" s="348" t="s">
        <v>608</v>
      </c>
      <c r="E18" s="348">
        <v>5</v>
      </c>
      <c r="F18" s="348"/>
      <c r="G18" s="330">
        <v>0.4</v>
      </c>
      <c r="H18" s="922">
        <v>1913</v>
      </c>
      <c r="I18" s="348" t="s">
        <v>602</v>
      </c>
      <c r="J18" s="348" t="str" cm="1">
        <f t="array" ref="J18">_xlfn.IFS(E18&lt;16,$CH$3,AND(15&lt;E18,E18&lt;31),$CH$4,E18&gt;30,$CH$5)</f>
        <v>1 to 15</v>
      </c>
      <c r="K18" s="352">
        <v>690000</v>
      </c>
      <c r="L18" s="352">
        <v>6900</v>
      </c>
      <c r="M18" s="352"/>
      <c r="N18" s="352"/>
      <c r="O18" s="352">
        <v>1500</v>
      </c>
      <c r="P18" s="352"/>
      <c r="Q18" s="352">
        <v>9000</v>
      </c>
      <c r="R18" s="352">
        <v>5250</v>
      </c>
      <c r="S18" s="352"/>
      <c r="T18" s="258">
        <f t="shared" si="0"/>
        <v>22650</v>
      </c>
      <c r="U18" s="352"/>
      <c r="V18" s="352"/>
      <c r="W18" s="352"/>
      <c r="X18" s="352"/>
      <c r="Y18" s="711"/>
      <c r="Z18" s="711"/>
      <c r="AA18" s="711"/>
      <c r="AB18" s="352"/>
      <c r="AC18" s="258">
        <f t="shared" si="1"/>
        <v>50000</v>
      </c>
      <c r="AD18" s="700">
        <f t="shared" si="2"/>
        <v>762650</v>
      </c>
      <c r="AE18" s="352"/>
      <c r="AF18" s="258" t="s">
        <v>609</v>
      </c>
      <c r="AG18" s="352">
        <v>237650</v>
      </c>
      <c r="AH18" s="352">
        <v>525000</v>
      </c>
      <c r="AI18" s="352"/>
      <c r="AJ18" s="258"/>
      <c r="AK18" s="258"/>
      <c r="AL18" s="258"/>
      <c r="AM18" s="352"/>
      <c r="AN18" s="700">
        <f t="shared" si="3"/>
        <v>762650</v>
      </c>
      <c r="AO18" s="352">
        <v>3300</v>
      </c>
      <c r="AP18" s="352">
        <v>3051</v>
      </c>
      <c r="AQ18" s="352"/>
      <c r="AR18" s="352">
        <v>1850</v>
      </c>
      <c r="AS18" s="352">
        <v>2400</v>
      </c>
      <c r="AT18" s="352">
        <v>3750</v>
      </c>
      <c r="AU18" s="258"/>
      <c r="AV18" s="352"/>
      <c r="AW18" s="258">
        <v>8280</v>
      </c>
      <c r="AX18" s="258">
        <f t="shared" si="4"/>
        <v>22631</v>
      </c>
      <c r="AY18" s="350">
        <f t="shared" si="5"/>
        <v>1.1052898550724637</v>
      </c>
      <c r="AZ18" s="329">
        <f t="shared" si="6"/>
        <v>138000</v>
      </c>
      <c r="BA18" s="328">
        <f t="shared" si="7"/>
        <v>4530</v>
      </c>
      <c r="BB18" s="247">
        <f t="shared" si="8"/>
        <v>10000</v>
      </c>
      <c r="BC18" s="247">
        <f t="shared" si="9"/>
        <v>152530</v>
      </c>
      <c r="BD18" s="258">
        <f t="shared" si="11"/>
        <v>4526.2</v>
      </c>
      <c r="BE18" s="697"/>
      <c r="BF18" s="258">
        <v>50000</v>
      </c>
      <c r="BI18" s="353"/>
    </row>
    <row r="19" spans="1:63" ht="21" customHeight="1">
      <c r="A19">
        <v>19</v>
      </c>
      <c r="B19" s="348" t="s">
        <v>635</v>
      </c>
      <c r="C19" s="348" t="s">
        <v>636</v>
      </c>
      <c r="D19" s="348" t="s">
        <v>608</v>
      </c>
      <c r="E19" s="348">
        <v>11</v>
      </c>
      <c r="F19" s="330">
        <v>0.21</v>
      </c>
      <c r="G19" s="698">
        <v>0.33</v>
      </c>
      <c r="H19" s="493">
        <v>1930</v>
      </c>
      <c r="I19" s="77" t="s">
        <v>637</v>
      </c>
      <c r="J19" s="348" t="str" cm="1">
        <f t="array" ref="J19">_xlfn.IFS(E19&lt;16,$CH$3,AND(15&lt;E19,E19&lt;31),$CH$4,E19&gt;30,$CH$5)</f>
        <v>1 to 15</v>
      </c>
      <c r="K19" s="352">
        <v>1850000</v>
      </c>
      <c r="L19" s="258"/>
      <c r="M19" s="258"/>
      <c r="N19" s="352"/>
      <c r="O19" s="258">
        <v>60200</v>
      </c>
      <c r="P19" s="258">
        <v>21797</v>
      </c>
      <c r="Q19" s="258">
        <v>3544</v>
      </c>
      <c r="R19" s="258">
        <v>2000</v>
      </c>
      <c r="S19" s="258">
        <f>368353+53895+63194+94791</f>
        <v>580233</v>
      </c>
      <c r="T19" s="258">
        <f t="shared" si="0"/>
        <v>667774</v>
      </c>
      <c r="U19" s="258">
        <v>119488</v>
      </c>
      <c r="V19" s="258">
        <v>201020</v>
      </c>
      <c r="W19" s="258">
        <v>357479</v>
      </c>
      <c r="X19" s="258">
        <v>107535</v>
      </c>
      <c r="Y19" s="710"/>
      <c r="Z19" s="710">
        <v>36954</v>
      </c>
      <c r="AA19" s="710"/>
      <c r="AB19" s="352"/>
      <c r="AC19" s="258">
        <f t="shared" si="1"/>
        <v>822476</v>
      </c>
      <c r="AD19" s="700">
        <f t="shared" si="2"/>
        <v>3340250</v>
      </c>
      <c r="AE19" s="352" t="s">
        <v>638</v>
      </c>
      <c r="AF19" s="258" t="s">
        <v>618</v>
      </c>
      <c r="AG19" s="352"/>
      <c r="AH19" s="352">
        <v>200000</v>
      </c>
      <c r="AI19" s="352"/>
      <c r="AJ19" s="352">
        <v>2890250</v>
      </c>
      <c r="AK19" s="352"/>
      <c r="AL19" s="258"/>
      <c r="AM19" s="352">
        <v>250000</v>
      </c>
      <c r="AN19" s="700">
        <f t="shared" si="3"/>
        <v>3340250</v>
      </c>
      <c r="AO19" s="352"/>
      <c r="AP19" s="352"/>
      <c r="AQ19" s="352"/>
      <c r="AR19" s="352"/>
      <c r="AS19" s="352"/>
      <c r="AT19" s="352"/>
      <c r="AU19" s="258"/>
      <c r="AW19" s="258"/>
      <c r="AX19" s="258">
        <f>SUM(AO19:AW19)+BG19</f>
        <v>78828</v>
      </c>
      <c r="AY19" s="350">
        <f t="shared" si="5"/>
        <v>1.8055405405405405</v>
      </c>
      <c r="AZ19" s="329">
        <f t="shared" si="6"/>
        <v>168181.81818181818</v>
      </c>
      <c r="BA19" s="328">
        <f t="shared" si="7"/>
        <v>60706.727272727272</v>
      </c>
      <c r="BB19" s="247">
        <f t="shared" si="8"/>
        <v>74770.545454545456</v>
      </c>
      <c r="BC19" s="247">
        <f t="shared" si="9"/>
        <v>303659.09090909088</v>
      </c>
      <c r="BD19" s="258">
        <f t="shared" si="11"/>
        <v>7166.181818181818</v>
      </c>
      <c r="BE19" s="707" t="s">
        <v>639</v>
      </c>
      <c r="BG19" s="352">
        <v>78828</v>
      </c>
      <c r="BI19" s="353"/>
    </row>
    <row r="20" spans="1:63" ht="21" customHeight="1">
      <c r="A20">
        <v>20</v>
      </c>
      <c r="B20" s="348" t="s">
        <v>635</v>
      </c>
      <c r="C20" s="348" t="s">
        <v>634</v>
      </c>
      <c r="D20" s="348" t="s">
        <v>608</v>
      </c>
      <c r="E20" s="348">
        <v>4</v>
      </c>
      <c r="G20" s="699">
        <v>0.33</v>
      </c>
      <c r="H20" s="323" t="s">
        <v>640</v>
      </c>
      <c r="I20" s="77" t="s">
        <v>637</v>
      </c>
      <c r="J20" s="348" t="str" cm="1">
        <f t="array" ref="J20">_xlfn.IFS(E20&lt;16,$CH$3,AND(15&lt;E20,E20&lt;31),$CH$4,E20&gt;30,$CH$5)</f>
        <v>1 to 15</v>
      </c>
      <c r="K20" s="352">
        <v>845000</v>
      </c>
      <c r="L20" s="258">
        <v>6135</v>
      </c>
      <c r="M20" s="258"/>
      <c r="N20" s="352"/>
      <c r="O20" s="258"/>
      <c r="P20" s="258"/>
      <c r="Q20" s="258">
        <v>2909.93</v>
      </c>
      <c r="R20" s="258"/>
      <c r="S20" s="258">
        <f>4000+5705+5700+10563+1800+7960.08+2342+25000+16000+2000+32.71+40000+39970</f>
        <v>161072.79</v>
      </c>
      <c r="T20" s="258">
        <f t="shared" si="0"/>
        <v>170117.72</v>
      </c>
      <c r="U20" s="258"/>
      <c r="V20" s="258"/>
      <c r="W20" s="258"/>
      <c r="X20" s="258"/>
      <c r="Y20" s="258"/>
      <c r="Z20" s="258"/>
      <c r="AA20" s="258"/>
      <c r="AB20" s="352"/>
      <c r="AC20" s="258">
        <f t="shared" si="1"/>
        <v>297554.09999999998</v>
      </c>
      <c r="AD20" s="700">
        <f t="shared" si="2"/>
        <v>1312671.82</v>
      </c>
      <c r="AE20" s="352" t="s">
        <v>638</v>
      </c>
      <c r="AF20" s="258" t="s">
        <v>609</v>
      </c>
      <c r="AG20" s="352"/>
      <c r="AH20" s="352"/>
      <c r="AI20" s="352"/>
      <c r="AJ20" s="352">
        <v>1200000</v>
      </c>
      <c r="AK20" s="352"/>
      <c r="AL20" s="258"/>
      <c r="AM20" s="352">
        <f>100000+12672</f>
        <v>112672</v>
      </c>
      <c r="AN20" s="258">
        <f>SUM(AH20:AM20)</f>
        <v>1312672</v>
      </c>
      <c r="AO20" s="352">
        <v>1930.48</v>
      </c>
      <c r="AP20" s="352">
        <v>2044.08</v>
      </c>
      <c r="AQ20" s="352">
        <v>2880</v>
      </c>
      <c r="AR20" s="352"/>
      <c r="AS20" s="352"/>
      <c r="AT20" s="258"/>
      <c r="AU20" s="258"/>
      <c r="AV20" s="352">
        <v>29847.24</v>
      </c>
      <c r="AW20" s="258"/>
      <c r="AX20" s="258">
        <f>SUM(AO20:AV20)</f>
        <v>36701.800000000003</v>
      </c>
      <c r="AY20" s="350">
        <f t="shared" si="5"/>
        <v>1.553457775147929</v>
      </c>
      <c r="AZ20" s="329">
        <f t="shared" si="6"/>
        <v>211250</v>
      </c>
      <c r="BA20" s="328">
        <f t="shared" si="7"/>
        <v>42529.43</v>
      </c>
      <c r="BB20" s="247">
        <f t="shared" si="8"/>
        <v>74388.524999999994</v>
      </c>
      <c r="BC20" s="247">
        <f t="shared" si="9"/>
        <v>328167.95500000002</v>
      </c>
      <c r="BD20" s="258">
        <f t="shared" si="11"/>
        <v>9175.4500000000007</v>
      </c>
      <c r="BE20" s="707" t="s">
        <v>641</v>
      </c>
      <c r="BF20" s="258">
        <v>297554.09999999998</v>
      </c>
      <c r="BI20" s="353"/>
    </row>
    <row r="21" spans="1:63" ht="21" customHeight="1">
      <c r="A21">
        <v>21</v>
      </c>
      <c r="B21" s="348" t="s">
        <v>635</v>
      </c>
      <c r="C21" s="348" t="s">
        <v>634</v>
      </c>
      <c r="D21" s="348" t="s">
        <v>608</v>
      </c>
      <c r="E21" s="348">
        <v>5</v>
      </c>
      <c r="F21" s="330">
        <v>0.31</v>
      </c>
      <c r="G21" s="698">
        <v>0.32</v>
      </c>
      <c r="H21" s="323" t="s">
        <v>642</v>
      </c>
      <c r="I21" s="77" t="s">
        <v>637</v>
      </c>
      <c r="J21" s="348" t="str" cm="1">
        <f t="array" ref="J21">_xlfn.IFS(E21&lt;16,$CH$3,AND(15&lt;E21,E21&lt;31),$CH$4,E21&gt;30,$CH$5)</f>
        <v>1 to 15</v>
      </c>
      <c r="K21" s="352">
        <v>910000</v>
      </c>
      <c r="L21" s="258"/>
      <c r="M21" s="258"/>
      <c r="N21" s="352"/>
      <c r="O21" s="258">
        <v>209000</v>
      </c>
      <c r="P21" s="258"/>
      <c r="Q21" s="258"/>
      <c r="R21" s="258"/>
      <c r="S21" s="258"/>
      <c r="T21" s="258">
        <f t="shared" si="0"/>
        <v>209000</v>
      </c>
      <c r="U21" s="258">
        <v>87646</v>
      </c>
      <c r="V21" s="258">
        <v>34344</v>
      </c>
      <c r="W21" s="258">
        <v>166808</v>
      </c>
      <c r="X21" s="258">
        <v>39141</v>
      </c>
      <c r="Y21" s="258"/>
      <c r="Z21" s="258">
        <v>11963</v>
      </c>
      <c r="AA21" s="258">
        <v>36934</v>
      </c>
      <c r="AB21" s="352"/>
      <c r="AC21" s="258">
        <f t="shared" si="1"/>
        <v>376836</v>
      </c>
      <c r="AD21" s="700">
        <f t="shared" si="2"/>
        <v>1495836</v>
      </c>
      <c r="AE21" s="352" t="s">
        <v>638</v>
      </c>
      <c r="AF21" s="258" t="s">
        <v>609</v>
      </c>
      <c r="AG21" s="352">
        <v>16836</v>
      </c>
      <c r="AH21" s="352"/>
      <c r="AI21" s="352"/>
      <c r="AJ21" s="352">
        <v>1479000</v>
      </c>
      <c r="AK21" s="352"/>
      <c r="AL21" s="258"/>
      <c r="AM21" s="352"/>
      <c r="AN21" s="700">
        <f t="shared" ref="AN21:AN26" si="12">SUM(AG21:AM21)</f>
        <v>1495836</v>
      </c>
      <c r="AO21" s="352">
        <v>9270.7800000000007</v>
      </c>
      <c r="AP21" s="352">
        <v>2667</v>
      </c>
      <c r="AQ21" s="352">
        <v>3600</v>
      </c>
      <c r="AR21" s="352"/>
      <c r="AS21" s="352"/>
      <c r="AT21" s="258"/>
      <c r="AU21" s="258"/>
      <c r="AV21" s="352">
        <v>29048.79</v>
      </c>
      <c r="AW21" s="258"/>
      <c r="AX21" s="258">
        <f>SUM(AO21:AV21)</f>
        <v>44586.57</v>
      </c>
      <c r="AY21" s="350">
        <f t="shared" si="5"/>
        <v>1.6437758241758242</v>
      </c>
      <c r="AZ21" s="329">
        <f t="shared" si="6"/>
        <v>182000</v>
      </c>
      <c r="BA21" s="328">
        <f t="shared" si="7"/>
        <v>41800</v>
      </c>
      <c r="BB21" s="247">
        <f t="shared" si="8"/>
        <v>75367.199999999997</v>
      </c>
      <c r="BC21" s="247">
        <f t="shared" si="9"/>
        <v>299167.2</v>
      </c>
      <c r="BD21" s="258">
        <f t="shared" si="11"/>
        <v>8917.3140000000003</v>
      </c>
      <c r="BE21" s="707" t="s">
        <v>643</v>
      </c>
      <c r="BI21" s="353"/>
    </row>
    <row r="22" spans="1:63" ht="21" customHeight="1">
      <c r="A22">
        <v>22</v>
      </c>
      <c r="B22" s="348" t="s">
        <v>635</v>
      </c>
      <c r="C22" s="348" t="s">
        <v>634</v>
      </c>
      <c r="D22" s="348" t="s">
        <v>608</v>
      </c>
      <c r="E22" s="348">
        <v>4</v>
      </c>
      <c r="F22" s="330">
        <v>0.45</v>
      </c>
      <c r="G22" s="699">
        <v>0.34</v>
      </c>
      <c r="H22" s="493">
        <v>1923</v>
      </c>
      <c r="I22" s="77" t="s">
        <v>602</v>
      </c>
      <c r="J22" s="348" t="str" cm="1">
        <f t="array" ref="J22">_xlfn.IFS(E22&lt;16,$CH$3,AND(15&lt;E22,E22&lt;31),$CH$4,E22&gt;30,$CH$5)</f>
        <v>1 to 15</v>
      </c>
      <c r="K22" s="352">
        <v>1600000</v>
      </c>
      <c r="L22" s="258"/>
      <c r="M22" s="258"/>
      <c r="N22" s="352"/>
      <c r="O22" s="258">
        <v>2349.5</v>
      </c>
      <c r="P22" s="258">
        <v>5820.42</v>
      </c>
      <c r="Q22" s="258">
        <v>14614.4</v>
      </c>
      <c r="R22" s="258">
        <v>10560</v>
      </c>
      <c r="S22" s="258">
        <f>251770.47</f>
        <v>251770.47</v>
      </c>
      <c r="T22" s="258">
        <f t="shared" si="0"/>
        <v>285114.78999999998</v>
      </c>
      <c r="U22" s="258"/>
      <c r="V22" s="258"/>
      <c r="W22" s="258"/>
      <c r="X22" s="258"/>
      <c r="Y22" s="258"/>
      <c r="Z22" s="258"/>
      <c r="AA22" s="258"/>
      <c r="AB22" s="352"/>
      <c r="AC22" s="258">
        <f t="shared" si="1"/>
        <v>142789</v>
      </c>
      <c r="AD22" s="700">
        <f t="shared" si="2"/>
        <v>2027903.79</v>
      </c>
      <c r="AE22" s="352"/>
      <c r="AF22" s="258" t="s">
        <v>609</v>
      </c>
      <c r="AG22" s="352">
        <v>50904</v>
      </c>
      <c r="AH22" s="352">
        <v>177000</v>
      </c>
      <c r="AI22" s="352"/>
      <c r="AJ22" s="352">
        <v>1800000</v>
      </c>
      <c r="AK22" s="352"/>
      <c r="AL22" s="258"/>
      <c r="AM22" s="352"/>
      <c r="AN22" s="700">
        <f t="shared" si="12"/>
        <v>2027904</v>
      </c>
      <c r="AO22" s="352">
        <v>3440</v>
      </c>
      <c r="AP22" s="352"/>
      <c r="AQ22" s="352">
        <v>24580</v>
      </c>
      <c r="AR22" s="352"/>
      <c r="AS22" s="352"/>
      <c r="AT22" s="258"/>
      <c r="AU22" s="258"/>
      <c r="AV22" s="352">
        <v>34721</v>
      </c>
      <c r="AW22" s="258"/>
      <c r="AX22" s="258">
        <f>SUM(AO22:AV22)</f>
        <v>62741</v>
      </c>
      <c r="AY22" s="350">
        <f t="shared" si="5"/>
        <v>1.2674398687499999</v>
      </c>
      <c r="AZ22" s="329">
        <f t="shared" si="6"/>
        <v>400000</v>
      </c>
      <c r="BA22" s="328">
        <f t="shared" si="7"/>
        <v>71278.697499999995</v>
      </c>
      <c r="BB22" s="247">
        <f t="shared" si="8"/>
        <v>35697.25</v>
      </c>
      <c r="BC22" s="247">
        <f t="shared" si="9"/>
        <v>506975.94750000001</v>
      </c>
      <c r="BD22" s="258">
        <f t="shared" si="11"/>
        <v>15685.25</v>
      </c>
      <c r="BE22" s="707" t="s">
        <v>644</v>
      </c>
      <c r="BF22" s="258">
        <f>44535+98254</f>
        <v>142789</v>
      </c>
      <c r="BI22" s="353"/>
    </row>
    <row r="23" spans="1:63" ht="21" customHeight="1">
      <c r="A23">
        <v>23</v>
      </c>
      <c r="B23" s="348" t="s">
        <v>635</v>
      </c>
      <c r="C23" s="348" t="s">
        <v>634</v>
      </c>
      <c r="D23" s="348" t="s">
        <v>608</v>
      </c>
      <c r="E23" s="348">
        <v>5</v>
      </c>
      <c r="G23" s="255"/>
      <c r="H23" s="323" t="s">
        <v>645</v>
      </c>
      <c r="I23" s="77" t="s">
        <v>637</v>
      </c>
      <c r="J23" s="348" t="str" cm="1">
        <f t="array" ref="J23">_xlfn.IFS(E23&lt;16,$CH$3,AND(15&lt;E23,E23&lt;31),$CH$4,E23&gt;30,$CH$5)</f>
        <v>1 to 15</v>
      </c>
      <c r="K23" s="352">
        <v>1360000</v>
      </c>
      <c r="L23" s="258">
        <v>805</v>
      </c>
      <c r="M23" s="258"/>
      <c r="N23" s="352"/>
      <c r="O23" s="258">
        <v>12000</v>
      </c>
      <c r="P23" s="258">
        <v>6000</v>
      </c>
      <c r="Q23" s="258">
        <v>9776.61</v>
      </c>
      <c r="R23" s="258">
        <v>11200</v>
      </c>
      <c r="S23" s="258">
        <v>184492.08</v>
      </c>
      <c r="T23" s="258">
        <f t="shared" si="0"/>
        <v>224273.69</v>
      </c>
      <c r="U23" s="258">
        <v>22772</v>
      </c>
      <c r="V23" s="258">
        <v>14100</v>
      </c>
      <c r="W23" s="258">
        <v>111200</v>
      </c>
      <c r="X23" s="258">
        <v>20000</v>
      </c>
      <c r="Y23" s="258"/>
      <c r="Z23" s="258"/>
      <c r="AA23" s="258"/>
      <c r="AB23" s="258">
        <f>14933+20407</f>
        <v>35340</v>
      </c>
      <c r="AC23" s="258">
        <f t="shared" si="1"/>
        <v>203412</v>
      </c>
      <c r="AD23" s="700">
        <f t="shared" si="2"/>
        <v>1787685.69</v>
      </c>
      <c r="AE23" s="352"/>
      <c r="AF23" s="258" t="s">
        <v>609</v>
      </c>
      <c r="AG23" s="352">
        <v>17686</v>
      </c>
      <c r="AH23" s="352">
        <v>210000</v>
      </c>
      <c r="AI23" s="352"/>
      <c r="AJ23" s="352">
        <v>1560000</v>
      </c>
      <c r="AK23" s="352"/>
      <c r="AL23" s="258"/>
      <c r="AM23" s="352"/>
      <c r="AN23" s="258">
        <f t="shared" si="12"/>
        <v>1787686</v>
      </c>
      <c r="AO23" s="352">
        <v>1109</v>
      </c>
      <c r="AP23" s="352">
        <v>4496</v>
      </c>
      <c r="AQ23" s="352">
        <v>7566</v>
      </c>
      <c r="AR23" s="352"/>
      <c r="AS23" s="352"/>
      <c r="AT23" s="258"/>
      <c r="AU23" s="258"/>
      <c r="AV23" s="352">
        <v>43891</v>
      </c>
      <c r="AW23" s="258"/>
      <c r="AX23" s="258">
        <f>SUM(AO23:AV23)</f>
        <v>57062</v>
      </c>
      <c r="AY23" s="350">
        <f t="shared" si="5"/>
        <v>1.3144747720588235</v>
      </c>
      <c r="AZ23" s="329">
        <f t="shared" si="6"/>
        <v>272000</v>
      </c>
      <c r="BA23" s="328">
        <f t="shared" si="7"/>
        <v>44854.737999999998</v>
      </c>
      <c r="BB23" s="247">
        <f t="shared" si="8"/>
        <v>40682.400000000001</v>
      </c>
      <c r="BC23" s="247">
        <f t="shared" si="9"/>
        <v>357537.13799999998</v>
      </c>
      <c r="BD23" s="258">
        <f t="shared" si="11"/>
        <v>11412.4</v>
      </c>
      <c r="BE23" s="707" t="s">
        <v>646</v>
      </c>
      <c r="BI23" s="353"/>
    </row>
    <row r="24" spans="1:63" ht="21" customHeight="1">
      <c r="A24">
        <v>24</v>
      </c>
      <c r="B24" s="348" t="s">
        <v>624</v>
      </c>
      <c r="C24" s="348" t="s">
        <v>647</v>
      </c>
      <c r="D24" s="348" t="s">
        <v>626</v>
      </c>
      <c r="E24" s="348">
        <v>13</v>
      </c>
      <c r="F24" s="348"/>
      <c r="G24" s="355">
        <v>0.6</v>
      </c>
      <c r="H24" s="922">
        <v>1965</v>
      </c>
      <c r="I24" s="348" t="s">
        <v>602</v>
      </c>
      <c r="J24" s="348" t="str" cm="1">
        <f t="array" ref="J24">_xlfn.IFS(E24&lt;16,$CH$3,AND(15&lt;E24,E24&lt;31),$CH$4,E24&gt;30,$CH$5)</f>
        <v>1 to 15</v>
      </c>
      <c r="K24" s="352">
        <v>4925000</v>
      </c>
      <c r="L24" s="352">
        <v>28000</v>
      </c>
      <c r="M24" s="258"/>
      <c r="N24" s="258"/>
      <c r="O24" s="258">
        <v>72430</v>
      </c>
      <c r="P24" s="352">
        <v>10000</v>
      </c>
      <c r="Q24" s="352">
        <v>37200</v>
      </c>
      <c r="R24" s="352">
        <v>30000</v>
      </c>
      <c r="S24" s="352">
        <v>732000</v>
      </c>
      <c r="T24" s="258">
        <f t="shared" si="0"/>
        <v>909630</v>
      </c>
      <c r="U24" s="352">
        <v>362000</v>
      </c>
      <c r="V24" s="352">
        <v>90000</v>
      </c>
      <c r="W24" s="352">
        <v>341000</v>
      </c>
      <c r="X24" s="352">
        <v>80000</v>
      </c>
      <c r="Y24" s="258"/>
      <c r="Z24" s="352">
        <v>114000</v>
      </c>
      <c r="AA24" s="352">
        <v>140000</v>
      </c>
      <c r="AB24" s="352">
        <v>138370</v>
      </c>
      <c r="AC24" s="258">
        <f t="shared" si="1"/>
        <v>1265370</v>
      </c>
      <c r="AD24" s="700">
        <f t="shared" si="2"/>
        <v>7100000</v>
      </c>
      <c r="AE24" s="352" t="s">
        <v>648</v>
      </c>
      <c r="AF24" s="258" t="s">
        <v>618</v>
      </c>
      <c r="AG24" s="352"/>
      <c r="AH24" s="352">
        <v>3200000</v>
      </c>
      <c r="AI24" s="352">
        <v>3900000</v>
      </c>
      <c r="AJ24" s="352"/>
      <c r="AK24" s="352"/>
      <c r="AL24" s="258"/>
      <c r="AM24" s="352"/>
      <c r="AN24" s="700">
        <f t="shared" si="12"/>
        <v>7100000</v>
      </c>
      <c r="AO24" s="352">
        <v>23000</v>
      </c>
      <c r="AP24" s="352">
        <v>6000</v>
      </c>
      <c r="AQ24" s="352">
        <v>16300</v>
      </c>
      <c r="AR24" s="352">
        <v>11000</v>
      </c>
      <c r="AS24" s="352">
        <v>35000</v>
      </c>
      <c r="AT24" s="352">
        <v>5200</v>
      </c>
      <c r="AU24" s="352"/>
      <c r="AV24" s="352">
        <v>44000</v>
      </c>
      <c r="AW24" s="352"/>
      <c r="AX24" s="258">
        <f>SUM(AO24:AW24)</f>
        <v>140500</v>
      </c>
      <c r="AY24" s="350">
        <f t="shared" si="5"/>
        <v>1.4416243654822336</v>
      </c>
      <c r="AZ24" s="329">
        <f t="shared" si="6"/>
        <v>378846.15384615387</v>
      </c>
      <c r="BA24" s="328">
        <f t="shared" si="7"/>
        <v>69971.538461538468</v>
      </c>
      <c r="BB24" s="247">
        <f t="shared" si="8"/>
        <v>97336.153846153844</v>
      </c>
      <c r="BC24" s="247">
        <f t="shared" si="9"/>
        <v>546153.84615384613</v>
      </c>
      <c r="BD24" s="258">
        <f t="shared" si="11"/>
        <v>10807.692307692309</v>
      </c>
      <c r="BE24" s="708" t="s">
        <v>649</v>
      </c>
      <c r="BI24" s="353"/>
    </row>
    <row r="25" spans="1:63" ht="21" customHeight="1">
      <c r="A25">
        <v>25</v>
      </c>
      <c r="B25" s="348" t="s">
        <v>624</v>
      </c>
      <c r="C25" s="348" t="s">
        <v>625</v>
      </c>
      <c r="D25" s="348" t="s">
        <v>626</v>
      </c>
      <c r="E25" s="348">
        <v>7</v>
      </c>
      <c r="F25" s="348"/>
      <c r="G25" s="355">
        <v>0.6</v>
      </c>
      <c r="H25" s="922">
        <v>1890</v>
      </c>
      <c r="I25" s="348" t="s">
        <v>602</v>
      </c>
      <c r="J25" s="348" t="str" cm="1">
        <f t="array" ref="J25">_xlfn.IFS(E25&lt;16,$CH$3,AND(15&lt;E25,E25&lt;31),$CH$4,E25&gt;30,$CH$5)</f>
        <v>1 to 15</v>
      </c>
      <c r="K25" s="352">
        <v>700000</v>
      </c>
      <c r="L25" s="352">
        <v>25500</v>
      </c>
      <c r="M25" s="258"/>
      <c r="N25" s="258"/>
      <c r="O25" s="352">
        <v>211600</v>
      </c>
      <c r="P25" s="352">
        <v>39000</v>
      </c>
      <c r="Q25" s="352">
        <v>21000</v>
      </c>
      <c r="R25" s="352">
        <v>51000</v>
      </c>
      <c r="S25" s="352">
        <v>439480</v>
      </c>
      <c r="T25" s="352">
        <v>787580</v>
      </c>
      <c r="U25" s="352">
        <v>222000</v>
      </c>
      <c r="V25" s="352">
        <v>260000</v>
      </c>
      <c r="W25" s="352">
        <v>783000</v>
      </c>
      <c r="X25" s="352">
        <v>250000</v>
      </c>
      <c r="Y25" s="258"/>
      <c r="Z25" s="352">
        <v>90000</v>
      </c>
      <c r="AA25" s="352">
        <v>102000</v>
      </c>
      <c r="AB25" s="352">
        <v>96000</v>
      </c>
      <c r="AC25" s="258">
        <f t="shared" si="1"/>
        <v>1803000</v>
      </c>
      <c r="AD25" s="700">
        <f t="shared" si="2"/>
        <v>3290580</v>
      </c>
      <c r="AE25" s="352" t="s">
        <v>650</v>
      </c>
      <c r="AF25" s="258" t="s">
        <v>603</v>
      </c>
      <c r="AG25" s="352"/>
      <c r="AH25" s="352">
        <v>562630</v>
      </c>
      <c r="AI25" s="352">
        <v>2609000</v>
      </c>
      <c r="AJ25" s="352"/>
      <c r="AK25" s="352"/>
      <c r="AL25" s="258"/>
      <c r="AM25" s="352">
        <v>118950</v>
      </c>
      <c r="AN25" s="700">
        <f t="shared" si="12"/>
        <v>3290580</v>
      </c>
      <c r="AO25" s="352">
        <v>20000</v>
      </c>
      <c r="AP25" s="352">
        <v>4800</v>
      </c>
      <c r="AQ25" s="352">
        <v>0</v>
      </c>
      <c r="AR25" s="352">
        <v>10350</v>
      </c>
      <c r="AS25" s="352">
        <v>5000</v>
      </c>
      <c r="AT25" s="352">
        <v>2800</v>
      </c>
      <c r="AU25" s="352"/>
      <c r="AV25" s="352">
        <v>14500</v>
      </c>
      <c r="AW25" s="352"/>
      <c r="AX25" s="258">
        <f>SUM(AO25:AW25)</f>
        <v>57450</v>
      </c>
      <c r="AY25" s="350">
        <f t="shared" si="5"/>
        <v>4.7008285714285716</v>
      </c>
      <c r="AZ25" s="329">
        <f t="shared" si="6"/>
        <v>100000</v>
      </c>
      <c r="BA25" s="328">
        <f t="shared" si="7"/>
        <v>112511.42857142857</v>
      </c>
      <c r="BB25" s="247">
        <f t="shared" si="8"/>
        <v>257571.42857142858</v>
      </c>
      <c r="BC25" s="247">
        <f t="shared" si="9"/>
        <v>470082.85714285716</v>
      </c>
      <c r="BD25" s="258">
        <f t="shared" si="11"/>
        <v>8207.1428571428569</v>
      </c>
      <c r="BE25" s="708" t="s">
        <v>651</v>
      </c>
      <c r="BI25" s="353">
        <f>AN25-AD25</f>
        <v>0</v>
      </c>
    </row>
    <row r="26" spans="1:63" ht="21" customHeight="1">
      <c r="A26">
        <v>26</v>
      </c>
      <c r="B26" s="348" t="s">
        <v>624</v>
      </c>
      <c r="C26" s="348" t="s">
        <v>647</v>
      </c>
      <c r="D26" s="348" t="s">
        <v>626</v>
      </c>
      <c r="E26" s="348">
        <v>12</v>
      </c>
      <c r="F26" s="348"/>
      <c r="G26" s="355">
        <v>0.6</v>
      </c>
      <c r="H26" s="922">
        <v>1965</v>
      </c>
      <c r="I26" s="348" t="s">
        <v>602</v>
      </c>
      <c r="J26" s="348" t="str" cm="1">
        <f t="array" ref="J26">_xlfn.IFS(E26&lt;16,$CH$3,AND(15&lt;E26,E26&lt;31),$CH$4,E26&gt;30,$CH$5)</f>
        <v>1 to 15</v>
      </c>
      <c r="K26" s="352">
        <v>2910800</v>
      </c>
      <c r="L26" s="352">
        <v>30000</v>
      </c>
      <c r="M26" s="258"/>
      <c r="N26" s="258"/>
      <c r="O26" s="352">
        <v>124000</v>
      </c>
      <c r="P26" s="352">
        <v>30000</v>
      </c>
      <c r="Q26" s="352">
        <v>50000</v>
      </c>
      <c r="R26" s="352">
        <v>12006</v>
      </c>
      <c r="S26" s="352">
        <v>599341</v>
      </c>
      <c r="T26" s="352">
        <v>845347</v>
      </c>
      <c r="U26" s="352">
        <v>123000</v>
      </c>
      <c r="V26" s="352">
        <v>144000</v>
      </c>
      <c r="W26" s="352">
        <v>318000</v>
      </c>
      <c r="X26" s="352">
        <v>56000</v>
      </c>
      <c r="Y26" s="258"/>
      <c r="Z26" s="352">
        <v>21000</v>
      </c>
      <c r="AA26" s="352">
        <v>140000</v>
      </c>
      <c r="AB26" s="352">
        <v>282450</v>
      </c>
      <c r="AC26" s="258">
        <f t="shared" si="1"/>
        <v>1084450</v>
      </c>
      <c r="AD26" s="700">
        <f t="shared" si="2"/>
        <v>4840597</v>
      </c>
      <c r="AE26" s="352" t="s">
        <v>648</v>
      </c>
      <c r="AF26" s="258" t="s">
        <v>618</v>
      </c>
      <c r="AG26" s="352"/>
      <c r="AH26" s="352">
        <v>1200649</v>
      </c>
      <c r="AI26" s="352">
        <v>3599948</v>
      </c>
      <c r="AJ26" s="352"/>
      <c r="AK26" s="352"/>
      <c r="AL26" s="258"/>
      <c r="AM26" s="352">
        <v>40000</v>
      </c>
      <c r="AN26" s="700">
        <f t="shared" si="12"/>
        <v>4840597</v>
      </c>
      <c r="AO26" s="352">
        <v>20000</v>
      </c>
      <c r="AP26" s="352">
        <v>6500</v>
      </c>
      <c r="AQ26" s="352">
        <v>13650</v>
      </c>
      <c r="AR26" s="352">
        <v>13000</v>
      </c>
      <c r="AS26" s="352">
        <v>40000</v>
      </c>
      <c r="AT26" s="352">
        <v>4800</v>
      </c>
      <c r="AU26" s="352"/>
      <c r="AV26" s="352">
        <v>25250</v>
      </c>
      <c r="AW26" s="352"/>
      <c r="AX26" s="258">
        <f>SUM(AO26:AW26)</f>
        <v>123200</v>
      </c>
      <c r="AY26" s="350">
        <f t="shared" si="5"/>
        <v>1.6629782190463103</v>
      </c>
      <c r="AZ26" s="329">
        <f t="shared" si="6"/>
        <v>242566.66666666666</v>
      </c>
      <c r="BA26" s="328">
        <f t="shared" si="7"/>
        <v>70445.583333333328</v>
      </c>
      <c r="BB26" s="247">
        <f t="shared" si="8"/>
        <v>90370.833333333328</v>
      </c>
      <c r="BC26" s="247">
        <f t="shared" si="9"/>
        <v>403383.08333333331</v>
      </c>
      <c r="BD26" s="258">
        <f t="shared" si="11"/>
        <v>10266.666666666666</v>
      </c>
      <c r="BE26" s="708" t="s">
        <v>652</v>
      </c>
      <c r="BI26" s="353">
        <f>AN26-AD26</f>
        <v>0</v>
      </c>
    </row>
    <row r="27" spans="1:63" ht="27" customHeight="1">
      <c r="A27">
        <v>27</v>
      </c>
      <c r="B27" t="s">
        <v>598</v>
      </c>
      <c r="C27" s="348" t="s">
        <v>653</v>
      </c>
      <c r="D27" t="s">
        <v>626</v>
      </c>
      <c r="E27">
        <v>12</v>
      </c>
      <c r="F27" s="330">
        <v>1.0900000000000001</v>
      </c>
      <c r="G27" s="330">
        <v>0.59399999999999997</v>
      </c>
      <c r="H27" s="493">
        <v>1964</v>
      </c>
      <c r="I27" t="s">
        <v>654</v>
      </c>
      <c r="J27" s="348" t="str" cm="1">
        <f t="array" ref="J27">_xlfn.IFS(E27&lt;16,$CH$3,AND(15&lt;E27,E27&lt;31),$CH$4,E27&gt;30,$CH$5)</f>
        <v>1 to 15</v>
      </c>
      <c r="K27" s="258">
        <v>7480000</v>
      </c>
      <c r="L27" s="258">
        <f>20000+15000</f>
        <v>35000</v>
      </c>
      <c r="M27" s="258">
        <v>80000</v>
      </c>
      <c r="N27" s="258">
        <v>225000</v>
      </c>
      <c r="O27" s="258">
        <f>12209+28258+7500+2400+25500</f>
        <v>75867</v>
      </c>
      <c r="P27" s="258">
        <v>15261</v>
      </c>
      <c r="Q27" s="258">
        <v>27118</v>
      </c>
      <c r="R27" s="258">
        <f>37875</f>
        <v>37875</v>
      </c>
      <c r="S27" s="258">
        <f>28200+5000+87320</f>
        <v>120520</v>
      </c>
      <c r="T27" s="353">
        <f>SUM(L27:S27)</f>
        <v>616641</v>
      </c>
      <c r="U27" s="258">
        <v>91566</v>
      </c>
      <c r="V27" s="258"/>
      <c r="W27" s="258"/>
      <c r="X27" s="258"/>
      <c r="Y27" s="258"/>
      <c r="Z27" s="258"/>
      <c r="AA27" s="258">
        <v>105301</v>
      </c>
      <c r="AC27" s="328">
        <f>SUM(U27:AB27,BF27,BG27,BH27,BI27)</f>
        <v>1725892</v>
      </c>
      <c r="AD27" s="349">
        <f>AC27+T27+K27</f>
        <v>9822533</v>
      </c>
      <c r="AF27" t="s">
        <v>618</v>
      </c>
      <c r="AH27" s="258">
        <v>2863350</v>
      </c>
      <c r="AI27" s="258">
        <v>6792532</v>
      </c>
      <c r="AJ27" s="258"/>
      <c r="AK27" s="258"/>
      <c r="AL27" s="258"/>
      <c r="AM27" s="258">
        <v>166650</v>
      </c>
      <c r="AN27" s="349">
        <f>SUM(AG27:AM27)</f>
        <v>9822532</v>
      </c>
      <c r="AO27" s="251">
        <v>20770</v>
      </c>
      <c r="AP27" s="251">
        <v>12323</v>
      </c>
      <c r="AQ27" s="251">
        <v>31104</v>
      </c>
      <c r="AR27" s="251">
        <v>20340</v>
      </c>
      <c r="AS27" s="251">
        <v>22678</v>
      </c>
      <c r="AT27" s="251"/>
      <c r="AU27" s="251"/>
      <c r="AV27" s="251"/>
      <c r="AW27" s="251">
        <v>22066</v>
      </c>
      <c r="AX27" s="251">
        <f>SUM(AO27:AW27)</f>
        <v>129281</v>
      </c>
      <c r="AY27" s="350">
        <f t="shared" si="5"/>
        <v>1.3131728609625668</v>
      </c>
      <c r="AZ27" s="329">
        <f t="shared" ref="AZ27" si="13">K27/E27</f>
        <v>623333.33333333337</v>
      </c>
      <c r="BA27" s="328">
        <f t="shared" ref="BA27" si="14">T27/E27</f>
        <v>51386.75</v>
      </c>
      <c r="BB27" s="247">
        <f t="shared" ref="BB27" si="15">AC27/E27</f>
        <v>143824.33333333334</v>
      </c>
      <c r="BC27" s="247">
        <f t="shared" ref="BC27" si="16">AD27/E27</f>
        <v>818544.41666666663</v>
      </c>
      <c r="BD27" s="258">
        <f t="shared" si="11"/>
        <v>10773.416666666666</v>
      </c>
      <c r="BE27" s="77" t="s">
        <v>655</v>
      </c>
      <c r="BF27" s="258">
        <v>1529025</v>
      </c>
    </row>
    <row r="28" spans="1:63">
      <c r="A28" s="906">
        <v>28</v>
      </c>
      <c r="B28" s="258" t="s">
        <v>598</v>
      </c>
      <c r="C28" s="352" t="s">
        <v>653</v>
      </c>
      <c r="D28" s="258" t="s">
        <v>626</v>
      </c>
      <c r="E28" s="907">
        <v>10</v>
      </c>
      <c r="F28" s="908">
        <v>0.65</v>
      </c>
      <c r="G28" s="910">
        <v>0.626</v>
      </c>
      <c r="H28" s="923">
        <v>1900</v>
      </c>
      <c r="I28" s="352" t="s">
        <v>656</v>
      </c>
      <c r="J28" s="348" t="str" cm="1">
        <f t="array" ref="J28">_xlfn.IFS(E28&lt;16,$CH$3,AND(15&lt;E28,E28&lt;31),$CH$4,E28&gt;30,$CH$5)</f>
        <v>1 to 15</v>
      </c>
      <c r="K28" s="352">
        <v>2590000</v>
      </c>
      <c r="L28" s="352"/>
      <c r="M28" s="258">
        <v>58320</v>
      </c>
      <c r="N28" s="258">
        <v>186000</v>
      </c>
      <c r="O28" s="352"/>
      <c r="P28" s="352"/>
      <c r="Q28" s="352"/>
      <c r="R28" s="352"/>
      <c r="S28" s="352"/>
      <c r="T28" s="258">
        <f>SUM(L28:S28)</f>
        <v>244320</v>
      </c>
      <c r="U28" s="352"/>
      <c r="V28" s="352"/>
      <c r="W28" s="352"/>
      <c r="X28" s="352"/>
      <c r="Y28" s="258"/>
      <c r="Z28" s="352"/>
      <c r="AA28" s="258"/>
      <c r="AB28" s="258">
        <f>346333+47911</f>
        <v>394244</v>
      </c>
      <c r="AC28" s="258">
        <f>SUM(U28:AB28)</f>
        <v>394244</v>
      </c>
      <c r="AD28" s="700">
        <f>K28+AC28+T28</f>
        <v>3228564</v>
      </c>
      <c r="AE28" s="258"/>
      <c r="AF28" s="258" t="s">
        <v>618</v>
      </c>
      <c r="AG28" s="258"/>
      <c r="AH28" s="352">
        <v>2650000</v>
      </c>
      <c r="AI28" s="258">
        <v>3850000</v>
      </c>
      <c r="AJ28" s="911"/>
      <c r="AK28" s="912"/>
      <c r="AM28" s="328"/>
      <c r="AN28" s="349">
        <f>SUM(AG28:AM28)</f>
        <v>6500000</v>
      </c>
      <c r="AO28" s="352">
        <v>52658</v>
      </c>
      <c r="AP28" s="352">
        <v>7817</v>
      </c>
      <c r="AQ28" s="352">
        <v>24748</v>
      </c>
      <c r="AR28" s="352">
        <v>27462</v>
      </c>
      <c r="AS28" s="352">
        <v>11553</v>
      </c>
      <c r="AT28" s="352"/>
      <c r="AU28" s="352"/>
      <c r="AV28" s="352"/>
      <c r="AW28" s="258">
        <v>1547</v>
      </c>
      <c r="AX28" s="258">
        <v>125785</v>
      </c>
      <c r="AY28" s="350">
        <f>AD28/K28</f>
        <v>1.2465498069498069</v>
      </c>
      <c r="AZ28" s="329">
        <f>K28/E28</f>
        <v>259000</v>
      </c>
      <c r="BA28" s="328">
        <f>T28/E28</f>
        <v>24432</v>
      </c>
      <c r="BB28" s="247">
        <f>AC28/E28</f>
        <v>39424.400000000001</v>
      </c>
      <c r="BC28" s="247">
        <f>AD28/E28</f>
        <v>322856.40000000002</v>
      </c>
      <c r="BD28" s="258">
        <v>12578.5</v>
      </c>
      <c r="BE28" t="s">
        <v>657</v>
      </c>
      <c r="BF28" s="247"/>
      <c r="BG28" s="247"/>
    </row>
    <row r="29" spans="1:63">
      <c r="A29" s="906">
        <v>27</v>
      </c>
      <c r="B29" s="258" t="s">
        <v>598</v>
      </c>
      <c r="C29" s="352" t="s">
        <v>653</v>
      </c>
      <c r="D29" s="258" t="s">
        <v>626</v>
      </c>
      <c r="E29" s="906">
        <v>12</v>
      </c>
      <c r="F29" s="909">
        <v>1.0900000000000001</v>
      </c>
      <c r="G29" s="909">
        <v>0.59399999999999997</v>
      </c>
      <c r="H29" s="924">
        <v>1964</v>
      </c>
      <c r="I29" s="258" t="s">
        <v>654</v>
      </c>
      <c r="J29" s="348" t="str" cm="1">
        <f t="array" ref="J29">_xlfn.IFS(E29&lt;16,$CH$3,AND(15&lt;E29,E29&lt;31),$CH$4,E29&gt;30,$CH$5)</f>
        <v>1 to 15</v>
      </c>
      <c r="K29" s="258">
        <v>7480000</v>
      </c>
      <c r="L29" s="258">
        <f>20000+15000</f>
        <v>35000</v>
      </c>
      <c r="M29" s="258">
        <v>80000</v>
      </c>
      <c r="N29" s="258">
        <v>225000</v>
      </c>
      <c r="O29" s="258">
        <f>12209+28258+7500+2400+25500</f>
        <v>75867</v>
      </c>
      <c r="P29" s="258">
        <v>15261</v>
      </c>
      <c r="Q29" s="258">
        <v>27118</v>
      </c>
      <c r="R29" s="258">
        <f>37875</f>
        <v>37875</v>
      </c>
      <c r="S29" s="258">
        <f>28200+5000+87320</f>
        <v>120520</v>
      </c>
      <c r="T29" s="258">
        <f>SUM(L29:S29)</f>
        <v>616641</v>
      </c>
      <c r="U29" s="258">
        <v>91566</v>
      </c>
      <c r="V29" s="258"/>
      <c r="W29" s="258"/>
      <c r="X29" s="258"/>
      <c r="Y29" s="258"/>
      <c r="Z29" s="258"/>
      <c r="AA29" s="258">
        <v>105301</v>
      </c>
      <c r="AB29" s="258"/>
      <c r="AC29" s="258">
        <f>SUM(U29:AB29,BF29,BG29,BH29,BI29)</f>
        <v>1725892</v>
      </c>
      <c r="AD29" s="700">
        <f>AC29+T29+K29</f>
        <v>9822533</v>
      </c>
      <c r="AE29" s="258"/>
      <c r="AF29" s="258" t="s">
        <v>618</v>
      </c>
      <c r="AG29" s="258"/>
      <c r="AH29" s="258">
        <v>2863350</v>
      </c>
      <c r="AI29" s="258">
        <v>6792532</v>
      </c>
      <c r="AM29">
        <v>166650</v>
      </c>
      <c r="AN29" s="349">
        <f>SUM(AG29:AM29)</f>
        <v>9822532</v>
      </c>
      <c r="AO29" s="258">
        <v>11940</v>
      </c>
      <c r="AP29" s="258">
        <v>7411</v>
      </c>
      <c r="AQ29" s="258">
        <v>29808</v>
      </c>
      <c r="AR29" s="258">
        <v>12231</v>
      </c>
      <c r="AS29" s="258">
        <v>75549</v>
      </c>
      <c r="AW29" s="258">
        <v>26378</v>
      </c>
      <c r="AX29" s="258">
        <v>163317</v>
      </c>
      <c r="AY29" s="350">
        <f t="shared" ref="AY29:AY37" si="17">AD29/K29</f>
        <v>1.3131728609625668</v>
      </c>
      <c r="AZ29" s="329">
        <f t="shared" ref="AZ29:AZ37" si="18">K29/E29</f>
        <v>623333.33333333337</v>
      </c>
      <c r="BA29" s="328">
        <f>T29/E29</f>
        <v>51386.75</v>
      </c>
      <c r="BB29" s="247">
        <f>AC29/E29</f>
        <v>143824.33333333334</v>
      </c>
      <c r="BC29" s="247">
        <f t="shared" ref="BC29:BC37" si="19">AD29/E29</f>
        <v>818544.41666666663</v>
      </c>
      <c r="BD29" s="258">
        <v>13609.75</v>
      </c>
      <c r="BE29" s="914" t="s">
        <v>658</v>
      </c>
      <c r="BF29" s="258">
        <v>610442</v>
      </c>
      <c r="BG29" s="258">
        <v>800000</v>
      </c>
      <c r="BH29" s="258">
        <v>64983</v>
      </c>
      <c r="BI29" s="258">
        <v>53600</v>
      </c>
      <c r="BJ29" s="258"/>
      <c r="BK29" s="258">
        <f>SUM(K29,T29,U29,AA29,BF29,BG29,BH29,BI29)</f>
        <v>9822533</v>
      </c>
    </row>
    <row r="30" spans="1:63">
      <c r="A30" s="906">
        <v>29</v>
      </c>
      <c r="B30" s="348" t="s">
        <v>624</v>
      </c>
      <c r="C30" s="352" t="s">
        <v>653</v>
      </c>
      <c r="D30" s="258" t="s">
        <v>626</v>
      </c>
      <c r="E30" s="906">
        <v>4</v>
      </c>
      <c r="F30" s="909">
        <v>0.86</v>
      </c>
      <c r="G30" s="909">
        <v>0.92</v>
      </c>
      <c r="H30" s="924">
        <v>1905</v>
      </c>
      <c r="I30" s="258" t="s">
        <v>654</v>
      </c>
      <c r="J30" s="348" t="str" cm="1">
        <f t="array" ref="J30">_xlfn.IFS(E30&lt;16,$CH$3,AND(15&lt;E30,E30&lt;31),$CH$4,E30&gt;30,$CH$5)</f>
        <v>1 to 15</v>
      </c>
      <c r="K30" s="258">
        <v>2400000</v>
      </c>
      <c r="L30" s="258">
        <f>10000+3840+15000</f>
        <v>28840</v>
      </c>
      <c r="M30" s="258">
        <v>34500</v>
      </c>
      <c r="N30" s="258">
        <v>120000</v>
      </c>
      <c r="O30" s="258"/>
      <c r="P30" s="258"/>
      <c r="Q30" s="258"/>
      <c r="R30" s="258">
        <f>17613+6581</f>
        <v>24194</v>
      </c>
      <c r="S30" s="258"/>
      <c r="T30" s="258"/>
      <c r="U30" s="258"/>
      <c r="V30" s="258"/>
      <c r="W30" s="258"/>
      <c r="X30" s="258"/>
      <c r="Y30" s="258"/>
      <c r="Z30" s="258"/>
      <c r="AA30" s="258"/>
      <c r="AB30" s="258">
        <f>SUM(BG30:BI30)+25500</f>
        <v>239268</v>
      </c>
      <c r="AC30" s="258">
        <v>414427</v>
      </c>
      <c r="AD30" s="700">
        <v>3722697</v>
      </c>
      <c r="AF30" s="258" t="s">
        <v>609</v>
      </c>
      <c r="AG30" s="258"/>
      <c r="AH30" s="258">
        <v>1425000</v>
      </c>
      <c r="AI30" s="258">
        <v>2325000</v>
      </c>
      <c r="AN30" s="349">
        <f t="shared" ref="AN30:AN35" si="20">SUM(AG30:AM30)</f>
        <v>3750000</v>
      </c>
      <c r="AO30" s="258">
        <v>9902.61</v>
      </c>
      <c r="AP30" s="258">
        <v>12769.3</v>
      </c>
      <c r="AQ30" s="258">
        <v>8445.6</v>
      </c>
      <c r="AR30" s="258">
        <v>3646.1</v>
      </c>
      <c r="AS30" s="258">
        <v>20721.25</v>
      </c>
      <c r="AT30" s="258"/>
      <c r="AU30" s="258"/>
      <c r="AV30" s="258"/>
      <c r="AW30" s="258">
        <v>1075.92</v>
      </c>
      <c r="AX30" s="258">
        <v>56560.78</v>
      </c>
      <c r="AY30" s="350">
        <f t="shared" si="17"/>
        <v>1.5511237499999999</v>
      </c>
      <c r="AZ30" s="329">
        <f t="shared" si="18"/>
        <v>600000</v>
      </c>
      <c r="BA30" s="328"/>
      <c r="BB30" s="247">
        <f>AC30/E30</f>
        <v>103606.75</v>
      </c>
      <c r="BC30" s="247">
        <f t="shared" si="19"/>
        <v>930674.25</v>
      </c>
      <c r="BD30" s="258">
        <v>14140.195</v>
      </c>
      <c r="BE30" s="914" t="s">
        <v>659</v>
      </c>
      <c r="BG30" s="258">
        <v>157367</v>
      </c>
      <c r="BH30" s="258"/>
      <c r="BI30" s="258">
        <v>56401</v>
      </c>
      <c r="BJ30" s="258"/>
      <c r="BK30" s="258"/>
    </row>
    <row r="31" spans="1:63">
      <c r="A31" s="906">
        <v>30</v>
      </c>
      <c r="B31" s="258" t="s">
        <v>598</v>
      </c>
      <c r="C31" s="352" t="s">
        <v>653</v>
      </c>
      <c r="D31" s="258" t="s">
        <v>626</v>
      </c>
      <c r="E31">
        <v>7</v>
      </c>
      <c r="F31" s="330">
        <v>0.78</v>
      </c>
      <c r="G31" s="330"/>
      <c r="H31" s="493">
        <v>1911</v>
      </c>
      <c r="I31" s="258" t="s">
        <v>654</v>
      </c>
      <c r="J31" s="348" t="str" cm="1">
        <f t="array" ref="J31">_xlfn.IFS(E31&lt;16,$CH$3,AND(15&lt;E31,E31&lt;31),$CH$4,E31&gt;30,$CH$5)</f>
        <v>1 to 15</v>
      </c>
      <c r="K31" s="258">
        <v>3400000</v>
      </c>
      <c r="N31" s="258">
        <v>150000</v>
      </c>
      <c r="AC31" s="353"/>
      <c r="AD31" s="700">
        <v>4767286</v>
      </c>
      <c r="AF31" s="258" t="s">
        <v>618</v>
      </c>
      <c r="AG31" s="258"/>
      <c r="AH31" s="258">
        <v>1997000</v>
      </c>
      <c r="AI31" s="258">
        <v>2704000</v>
      </c>
      <c r="AJ31" s="258"/>
      <c r="AK31" s="258"/>
      <c r="AL31" s="258"/>
      <c r="AM31" s="258">
        <v>54049</v>
      </c>
      <c r="AN31" s="349">
        <f t="shared" si="20"/>
        <v>4755049</v>
      </c>
      <c r="AO31" s="258">
        <v>6498.333333333333</v>
      </c>
      <c r="AP31" s="258">
        <v>8244.3333333333339</v>
      </c>
      <c r="AQ31" s="258">
        <v>16333.666666666666</v>
      </c>
      <c r="AR31" s="258">
        <v>4423</v>
      </c>
      <c r="AS31" s="258">
        <v>28562.666666666668</v>
      </c>
      <c r="AT31" s="258"/>
      <c r="AU31" s="258"/>
      <c r="AV31" s="258"/>
      <c r="AW31" s="258">
        <v>47170.6</v>
      </c>
      <c r="AX31" s="258">
        <v>111232.59999999999</v>
      </c>
      <c r="AY31" s="350">
        <f t="shared" si="17"/>
        <v>1.4021429411764705</v>
      </c>
      <c r="AZ31" s="329">
        <f t="shared" si="18"/>
        <v>485714.28571428574</v>
      </c>
      <c r="BA31" s="328"/>
      <c r="BB31" s="247"/>
      <c r="BC31" s="247">
        <f t="shared" si="19"/>
        <v>681040.85714285716</v>
      </c>
      <c r="BD31" s="258">
        <v>15890.371428571429</v>
      </c>
      <c r="BE31" s="914" t="s">
        <v>660</v>
      </c>
      <c r="BG31" s="258">
        <v>165000</v>
      </c>
      <c r="BH31" s="258">
        <v>38339.08</v>
      </c>
      <c r="BI31" s="258"/>
      <c r="BJ31" s="258">
        <v>25500</v>
      </c>
      <c r="BK31" s="258"/>
    </row>
    <row r="32" spans="1:63">
      <c r="A32" s="906">
        <v>31</v>
      </c>
      <c r="B32" s="258" t="s">
        <v>598</v>
      </c>
      <c r="C32" s="352" t="s">
        <v>653</v>
      </c>
      <c r="D32" s="258" t="s">
        <v>626</v>
      </c>
      <c r="E32">
        <v>6</v>
      </c>
      <c r="F32" s="330">
        <v>0.64</v>
      </c>
      <c r="G32" s="330"/>
      <c r="H32" s="493">
        <v>1912</v>
      </c>
      <c r="I32" s="258" t="s">
        <v>654</v>
      </c>
      <c r="J32" s="348" t="str" cm="1">
        <f t="array" ref="J32">_xlfn.IFS(E32&lt;16,$CH$3,AND(15&lt;E32,E32&lt;31),$CH$4,E32&gt;30,$CH$5)</f>
        <v>1 to 15</v>
      </c>
      <c r="K32" s="258">
        <v>2000000</v>
      </c>
      <c r="L32" s="258"/>
      <c r="M32" s="258"/>
      <c r="N32" s="258">
        <v>140000</v>
      </c>
      <c r="O32" s="258"/>
      <c r="P32" s="258"/>
      <c r="Q32" s="258"/>
      <c r="R32" s="258"/>
      <c r="S32" s="258"/>
      <c r="T32" s="258"/>
      <c r="U32" s="258"/>
      <c r="AD32" s="700">
        <v>3647000</v>
      </c>
      <c r="AF32" s="258" t="s">
        <v>618</v>
      </c>
      <c r="AH32" s="258">
        <v>1287000</v>
      </c>
      <c r="AI32" s="258">
        <v>2360000</v>
      </c>
      <c r="AN32" s="913">
        <f t="shared" si="20"/>
        <v>3647000</v>
      </c>
      <c r="AO32" s="258">
        <v>8352.4600000000009</v>
      </c>
      <c r="AP32" s="258">
        <v>4459.134</v>
      </c>
      <c r="AQ32" s="258">
        <v>13332.2</v>
      </c>
      <c r="AR32" s="258">
        <v>11931.87</v>
      </c>
      <c r="AS32" s="258">
        <v>19597.670000000002</v>
      </c>
      <c r="AT32" s="258"/>
      <c r="AU32" s="258"/>
      <c r="AV32" s="258"/>
      <c r="AW32" s="258">
        <v>4930.3500000000004</v>
      </c>
      <c r="AX32" s="258">
        <v>62603.684000000008</v>
      </c>
      <c r="AY32" s="350">
        <f t="shared" si="17"/>
        <v>1.8234999999999999</v>
      </c>
      <c r="AZ32" s="329">
        <f t="shared" si="18"/>
        <v>333333.33333333331</v>
      </c>
      <c r="BA32" s="328"/>
      <c r="BB32" s="247"/>
      <c r="BC32" s="247">
        <f t="shared" si="19"/>
        <v>607833.33333333337</v>
      </c>
      <c r="BD32" s="258">
        <v>8943.3834285714292</v>
      </c>
      <c r="BE32" s="914" t="s">
        <v>661</v>
      </c>
      <c r="BG32" s="258">
        <v>100021</v>
      </c>
      <c r="BH32" s="258">
        <v>31224</v>
      </c>
      <c r="BI32" s="258"/>
      <c r="BJ32" s="258"/>
      <c r="BK32" s="258"/>
    </row>
    <row r="33" spans="1:63">
      <c r="A33" s="906">
        <v>32</v>
      </c>
      <c r="B33" s="258" t="s">
        <v>598</v>
      </c>
      <c r="C33" s="352" t="s">
        <v>653</v>
      </c>
      <c r="D33" s="258" t="s">
        <v>626</v>
      </c>
      <c r="E33">
        <v>5</v>
      </c>
      <c r="F33" s="330">
        <v>0.64</v>
      </c>
      <c r="G33" s="330">
        <v>0.62</v>
      </c>
      <c r="H33" s="493">
        <v>1911</v>
      </c>
      <c r="I33" s="258" t="s">
        <v>654</v>
      </c>
      <c r="J33" s="348" t="str" cm="1">
        <f t="array" ref="J33">_xlfn.IFS(E33&lt;16,$CH$3,AND(15&lt;E33,E33&lt;31),$CH$4,E33&gt;30,$CH$5)</f>
        <v>1 to 15</v>
      </c>
      <c r="K33" s="258">
        <v>1800000</v>
      </c>
      <c r="L33" s="258">
        <f>10000+19000</f>
        <v>29000</v>
      </c>
      <c r="M33" s="258"/>
      <c r="N33" s="258">
        <v>133000</v>
      </c>
      <c r="O33" s="258">
        <f>20322.5+2750+14535+8370</f>
        <v>45977.5</v>
      </c>
      <c r="P33" s="258"/>
      <c r="Q33" s="258"/>
      <c r="R33" s="258">
        <f>15000</f>
        <v>15000</v>
      </c>
      <c r="S33" s="258">
        <f>24040</f>
        <v>24040</v>
      </c>
      <c r="T33" s="258">
        <f>SUM(L33:S33)</f>
        <v>247017.5</v>
      </c>
      <c r="U33" s="258"/>
      <c r="V33" s="258"/>
      <c r="W33" s="258"/>
      <c r="X33" s="258"/>
      <c r="Y33" s="258"/>
      <c r="Z33" s="258"/>
      <c r="AA33" s="258"/>
      <c r="AB33" s="258"/>
      <c r="AC33" s="258">
        <f>AD33-K33-T33-BG33-BH33-BJ33</f>
        <v>1718137.5</v>
      </c>
      <c r="AD33" s="700">
        <v>3859004</v>
      </c>
      <c r="AF33" s="258" t="s">
        <v>618</v>
      </c>
      <c r="AH33" s="258">
        <v>1055000</v>
      </c>
      <c r="AI33" s="258">
        <v>2804004</v>
      </c>
      <c r="AN33" s="349">
        <f t="shared" si="20"/>
        <v>3859004</v>
      </c>
      <c r="AO33" s="258">
        <v>7090</v>
      </c>
      <c r="AP33" s="258">
        <v>4360</v>
      </c>
      <c r="AQ33" s="258">
        <v>13100</v>
      </c>
      <c r="AR33" s="258">
        <v>11947</v>
      </c>
      <c r="AS33" s="258">
        <v>9670</v>
      </c>
      <c r="AT33" s="258"/>
      <c r="AU33" s="258"/>
      <c r="AV33" s="258"/>
      <c r="AW33" s="258">
        <v>2740</v>
      </c>
      <c r="AX33" s="258">
        <v>48907</v>
      </c>
      <c r="AY33" s="350">
        <f t="shared" si="17"/>
        <v>2.143891111111111</v>
      </c>
      <c r="AZ33" s="329">
        <f t="shared" si="18"/>
        <v>360000</v>
      </c>
      <c r="BA33" s="328">
        <f>T33/E33</f>
        <v>49403.5</v>
      </c>
      <c r="BB33" s="247">
        <f>AC33/E33</f>
        <v>343627.5</v>
      </c>
      <c r="BC33" s="247">
        <f t="shared" si="19"/>
        <v>771800.8</v>
      </c>
      <c r="BD33" s="258">
        <v>9781.4</v>
      </c>
      <c r="BE33" s="914"/>
      <c r="BG33" s="258">
        <v>44969</v>
      </c>
      <c r="BH33" s="258">
        <v>23380</v>
      </c>
      <c r="BI33" s="258"/>
      <c r="BJ33" s="258">
        <v>25500</v>
      </c>
      <c r="BK33" s="258"/>
    </row>
    <row r="34" spans="1:63">
      <c r="A34" s="906">
        <v>33</v>
      </c>
      <c r="B34" s="258" t="s">
        <v>598</v>
      </c>
      <c r="C34" s="352" t="s">
        <v>653</v>
      </c>
      <c r="D34" s="258" t="s">
        <v>626</v>
      </c>
      <c r="E34">
        <v>4</v>
      </c>
      <c r="F34" s="330">
        <v>0.6</v>
      </c>
      <c r="G34" s="330">
        <v>0.65</v>
      </c>
      <c r="H34" s="493">
        <v>1963</v>
      </c>
      <c r="I34" s="258" t="s">
        <v>654</v>
      </c>
      <c r="J34" s="348" t="str" cm="1">
        <f t="array" ref="J34">_xlfn.IFS(E34&lt;16,$CH$3,AND(15&lt;E34,E34&lt;31),$CH$4,E34&gt;30,$CH$5)</f>
        <v>1 to 15</v>
      </c>
      <c r="K34" s="258">
        <v>1480000</v>
      </c>
      <c r="L34" s="258">
        <f>3500+15000+7000</f>
        <v>25500</v>
      </c>
      <c r="M34" s="258"/>
      <c r="N34" s="258">
        <v>120000</v>
      </c>
      <c r="O34" s="258"/>
      <c r="P34" s="258"/>
      <c r="Q34" s="258"/>
      <c r="R34" s="258">
        <f>15000</f>
        <v>15000</v>
      </c>
      <c r="S34" s="258">
        <v>6500</v>
      </c>
      <c r="T34" s="258">
        <f>SUM(L34:S34)</f>
        <v>167000</v>
      </c>
      <c r="U34" s="258"/>
      <c r="V34" s="258"/>
      <c r="W34" s="258"/>
      <c r="X34" s="258"/>
      <c r="Y34" s="258"/>
      <c r="Z34" s="258"/>
      <c r="AA34" s="258"/>
      <c r="AB34" s="258"/>
      <c r="AC34" s="258">
        <f>AD34-K34-L34-N34-R34-S34-BG34-BH34</f>
        <v>205980</v>
      </c>
      <c r="AD34" s="700">
        <v>2062000</v>
      </c>
      <c r="AF34" s="258" t="s">
        <v>609</v>
      </c>
      <c r="AH34" s="258">
        <v>671000</v>
      </c>
      <c r="AI34" s="258">
        <v>1391000</v>
      </c>
      <c r="AJ34" s="258"/>
      <c r="AK34" s="258"/>
      <c r="AL34" s="258"/>
      <c r="AM34" s="258"/>
      <c r="AN34" s="349">
        <f t="shared" si="20"/>
        <v>2062000</v>
      </c>
      <c r="AO34" s="258">
        <v>4734.5733333333337</v>
      </c>
      <c r="AP34" s="258">
        <v>2411.2833333333333</v>
      </c>
      <c r="AQ34" s="258">
        <v>9270.3333333333339</v>
      </c>
      <c r="AR34" s="258">
        <v>8345.9633333333331</v>
      </c>
      <c r="AS34" s="258">
        <v>16598.47</v>
      </c>
      <c r="AT34" s="258"/>
      <c r="AU34" s="258"/>
      <c r="AV34" s="258"/>
      <c r="AW34" s="258">
        <v>1122.5933333333332</v>
      </c>
      <c r="AX34" s="258">
        <v>42483.216666666667</v>
      </c>
      <c r="AY34" s="350">
        <f t="shared" si="17"/>
        <v>1.3932432432432433</v>
      </c>
      <c r="AZ34" s="329">
        <f t="shared" si="18"/>
        <v>370000</v>
      </c>
      <c r="BA34" s="328">
        <f>T34/E34</f>
        <v>41750</v>
      </c>
      <c r="BB34" s="247">
        <f>AC34/E34</f>
        <v>51495</v>
      </c>
      <c r="BC34" s="247">
        <f t="shared" si="19"/>
        <v>515500</v>
      </c>
      <c r="BD34" s="258">
        <v>10620.804166666667</v>
      </c>
      <c r="BE34" t="s">
        <v>662</v>
      </c>
      <c r="BF34"/>
      <c r="BG34" s="258">
        <v>189989</v>
      </c>
      <c r="BH34" s="258">
        <v>19031</v>
      </c>
      <c r="BI34" s="258"/>
      <c r="BJ34" s="258"/>
    </row>
    <row r="35" spans="1:63">
      <c r="A35" s="906">
        <v>34</v>
      </c>
      <c r="B35" s="258" t="s">
        <v>598</v>
      </c>
      <c r="C35" s="352" t="s">
        <v>653</v>
      </c>
      <c r="D35" s="258" t="s">
        <v>626</v>
      </c>
      <c r="E35">
        <v>6</v>
      </c>
      <c r="F35" s="330">
        <v>0.33</v>
      </c>
      <c r="G35" s="330">
        <v>0.76300000000000001</v>
      </c>
      <c r="I35" s="258" t="s">
        <v>663</v>
      </c>
      <c r="J35" s="348" t="str" cm="1">
        <f t="array" ref="J35">_xlfn.IFS(E35&lt;16,$CH$3,AND(15&lt;E35,E35&lt;31),$CH$4,E35&gt;30,$CH$5)</f>
        <v>1 to 15</v>
      </c>
      <c r="K35" s="258">
        <v>2000000</v>
      </c>
      <c r="L35" s="258">
        <f>43000</f>
        <v>43000</v>
      </c>
      <c r="M35" s="258">
        <v>19700</v>
      </c>
      <c r="N35" s="258">
        <v>146000</v>
      </c>
      <c r="O35" s="258">
        <f>12135+14250+41500</f>
        <v>67885</v>
      </c>
      <c r="P35" s="258">
        <v>70425</v>
      </c>
      <c r="Q35" s="258">
        <v>26448</v>
      </c>
      <c r="R35" s="258">
        <f>13824+42188+19975</f>
        <v>75987</v>
      </c>
      <c r="S35" s="258">
        <f>25951+23600+2400+19700+5000+6185</f>
        <v>82836</v>
      </c>
      <c r="T35" s="258">
        <f>SUM(L35:S35)</f>
        <v>532281</v>
      </c>
      <c r="U35" s="258">
        <v>97125</v>
      </c>
      <c r="V35" s="258"/>
      <c r="W35" s="258"/>
      <c r="X35" s="258"/>
      <c r="Y35" s="258"/>
      <c r="Z35" s="258"/>
      <c r="AA35" s="258">
        <v>159121</v>
      </c>
      <c r="AB35" s="328">
        <f>AN35-SUM(BF35:BH35,U35:AA35,K35:S35)</f>
        <v>49064</v>
      </c>
      <c r="AD35" s="700">
        <v>4022498</v>
      </c>
      <c r="AF35" s="258" t="s">
        <v>664</v>
      </c>
      <c r="AH35" s="258">
        <v>1598000</v>
      </c>
      <c r="AI35" s="258">
        <v>2424498</v>
      </c>
      <c r="AJ35" s="258"/>
      <c r="AK35" s="258"/>
      <c r="AL35" s="258"/>
      <c r="AM35" s="258"/>
      <c r="AN35" s="349">
        <f t="shared" si="20"/>
        <v>4022498</v>
      </c>
      <c r="AO35" s="258">
        <v>5572</v>
      </c>
      <c r="AP35" s="258">
        <v>3858</v>
      </c>
      <c r="AQ35" s="258">
        <v>15446</v>
      </c>
      <c r="AR35" s="258">
        <v>16181</v>
      </c>
      <c r="AS35" s="258">
        <v>31790</v>
      </c>
      <c r="AT35" s="258"/>
      <c r="AU35" s="258"/>
      <c r="AV35" s="258"/>
      <c r="AW35" s="258">
        <v>1231</v>
      </c>
      <c r="AX35" s="258">
        <v>74078</v>
      </c>
      <c r="AY35" s="350">
        <f t="shared" si="17"/>
        <v>2.0112489999999998</v>
      </c>
      <c r="AZ35" s="329">
        <f t="shared" si="18"/>
        <v>333333.33333333331</v>
      </c>
      <c r="BA35" s="328">
        <f>T35/E35</f>
        <v>88713.5</v>
      </c>
      <c r="BB35" s="247"/>
      <c r="BC35" s="247">
        <f t="shared" si="19"/>
        <v>670416.33333333337</v>
      </c>
      <c r="BD35" s="258">
        <v>12346.333333333334</v>
      </c>
      <c r="BE35" s="914" t="s">
        <v>665</v>
      </c>
      <c r="BF35">
        <v>647500</v>
      </c>
      <c r="BG35" s="258">
        <v>105000</v>
      </c>
      <c r="BH35" s="258">
        <f>402028+30379</f>
        <v>432407</v>
      </c>
      <c r="BI35" s="258"/>
      <c r="BJ35" s="258"/>
    </row>
    <row r="36" spans="1:63">
      <c r="A36" s="906">
        <v>35</v>
      </c>
      <c r="B36" s="258" t="s">
        <v>598</v>
      </c>
      <c r="C36" s="352" t="s">
        <v>653</v>
      </c>
      <c r="D36" s="258" t="s">
        <v>626</v>
      </c>
      <c r="E36">
        <v>13</v>
      </c>
      <c r="F36" s="330">
        <v>0.66</v>
      </c>
      <c r="G36" s="330">
        <v>0.77</v>
      </c>
      <c r="H36" s="493">
        <v>1977</v>
      </c>
      <c r="I36" s="258" t="s">
        <v>666</v>
      </c>
      <c r="J36" s="348" t="str" cm="1">
        <f t="array" ref="J36">_xlfn.IFS(E36&lt;16,$CH$3,AND(15&lt;E36,E36&lt;31),$CH$4,E36&gt;30,$CH$5)</f>
        <v>1 to 15</v>
      </c>
      <c r="K36" s="258">
        <v>6495000</v>
      </c>
      <c r="L36" s="258">
        <f>20108+18000</f>
        <v>38108</v>
      </c>
      <c r="M36" s="258"/>
      <c r="N36" s="258">
        <v>210000</v>
      </c>
      <c r="O36" s="258"/>
      <c r="P36" s="258"/>
      <c r="Q36" s="258"/>
      <c r="R36" s="258">
        <f>40450</f>
        <v>40450</v>
      </c>
      <c r="S36" s="258">
        <f>30559</f>
        <v>30559</v>
      </c>
      <c r="T36" s="258">
        <f t="shared" ref="T36:T37" si="21">SUM(L36:S36)</f>
        <v>319117</v>
      </c>
      <c r="U36" s="258"/>
      <c r="AC36" s="353">
        <f>AN36-BH36-BG36-BJ36-S36-R36-N36-L36-K36</f>
        <v>1673006</v>
      </c>
      <c r="AD36" s="915">
        <f>AH36+AI36</f>
        <v>8716000</v>
      </c>
      <c r="AF36" s="258" t="s">
        <v>618</v>
      </c>
      <c r="AH36" s="258">
        <v>3236000</v>
      </c>
      <c r="AI36" s="258">
        <v>5480000</v>
      </c>
      <c r="AJ36" s="258"/>
      <c r="AK36" s="258"/>
      <c r="AL36" s="258"/>
      <c r="AM36" s="258"/>
      <c r="AN36" s="700">
        <v>8718139</v>
      </c>
      <c r="AO36" s="258">
        <v>32533</v>
      </c>
      <c r="AP36" s="258">
        <v>12738</v>
      </c>
      <c r="AQ36" s="258">
        <v>34053</v>
      </c>
      <c r="AR36" s="258">
        <v>114515</v>
      </c>
      <c r="AS36" s="258">
        <v>32143</v>
      </c>
      <c r="AT36" s="258"/>
      <c r="AU36" s="258"/>
      <c r="AV36" s="258"/>
      <c r="AW36" s="258">
        <v>18421</v>
      </c>
      <c r="AX36" s="258">
        <v>244403</v>
      </c>
      <c r="AY36" s="350">
        <f t="shared" si="17"/>
        <v>1.3419553502694381</v>
      </c>
      <c r="AZ36" s="329">
        <f t="shared" si="18"/>
        <v>499615.38461538462</v>
      </c>
      <c r="BA36" s="328">
        <f>T36/E36</f>
        <v>24547.461538461539</v>
      </c>
      <c r="BB36" s="247">
        <f>AC36/E36</f>
        <v>128692.76923076923</v>
      </c>
      <c r="BC36" s="247">
        <f t="shared" si="19"/>
        <v>670461.5384615385</v>
      </c>
      <c r="BD36" s="258">
        <v>18800.23076923077</v>
      </c>
      <c r="BE36" t="s">
        <v>667</v>
      </c>
      <c r="BF36"/>
      <c r="BG36" s="258">
        <v>126000</v>
      </c>
      <c r="BH36" s="258">
        <v>74252</v>
      </c>
      <c r="BI36" s="258"/>
      <c r="BJ36" s="258">
        <v>30764</v>
      </c>
    </row>
    <row r="37" spans="1:63">
      <c r="A37" s="906">
        <v>36</v>
      </c>
      <c r="B37" s="258" t="s">
        <v>598</v>
      </c>
      <c r="C37" s="352" t="s">
        <v>653</v>
      </c>
      <c r="D37" s="258" t="s">
        <v>626</v>
      </c>
      <c r="E37">
        <v>16</v>
      </c>
      <c r="F37" s="330">
        <v>0.68</v>
      </c>
      <c r="G37" s="330">
        <v>0.76</v>
      </c>
      <c r="H37" s="493">
        <v>1922</v>
      </c>
      <c r="I37" s="258" t="s">
        <v>668</v>
      </c>
      <c r="J37" s="348" t="str" cm="1">
        <f t="array" ref="J37">_xlfn.IFS(E37&lt;16,$CH$3,AND(15&lt;E37,E37&lt;31),$CH$4,E37&gt;30,$CH$5)</f>
        <v>16 to 30</v>
      </c>
      <c r="K37" s="258">
        <v>7750000</v>
      </c>
      <c r="L37" s="258"/>
      <c r="M37" s="258">
        <v>10000</v>
      </c>
      <c r="N37" s="258">
        <v>240000</v>
      </c>
      <c r="O37" s="258"/>
      <c r="P37" s="258"/>
      <c r="Q37" s="258"/>
      <c r="R37" s="258"/>
      <c r="S37" s="258"/>
      <c r="T37" s="258">
        <f t="shared" si="21"/>
        <v>250000</v>
      </c>
      <c r="U37" s="258"/>
      <c r="AC37" s="353">
        <f>AD37-K37-M37-N37-BG37-BH37-BJ37</f>
        <v>1170189</v>
      </c>
      <c r="AD37" s="700">
        <v>9452000</v>
      </c>
      <c r="AF37" s="258" t="s">
        <v>618</v>
      </c>
      <c r="AH37" s="258">
        <v>5392000</v>
      </c>
      <c r="AI37" s="258">
        <v>4060000</v>
      </c>
      <c r="AN37" s="700">
        <v>9452000</v>
      </c>
      <c r="AO37" s="258">
        <v>24633.738000000001</v>
      </c>
      <c r="AP37" s="258">
        <v>16088.194</v>
      </c>
      <c r="AQ37" s="258">
        <v>35605.512000000002</v>
      </c>
      <c r="AR37" s="258">
        <v>38025.428</v>
      </c>
      <c r="AS37" s="258">
        <v>41056.985999999997</v>
      </c>
      <c r="AT37" s="258"/>
      <c r="AU37" s="258"/>
      <c r="AV37" s="258"/>
      <c r="AW37" s="258">
        <v>47439.896000000001</v>
      </c>
      <c r="AX37" s="258">
        <v>202849.75400000002</v>
      </c>
      <c r="AY37" s="350">
        <f t="shared" si="17"/>
        <v>1.2196129032258065</v>
      </c>
      <c r="AZ37" s="329">
        <f t="shared" si="18"/>
        <v>484375</v>
      </c>
      <c r="BA37" s="328">
        <f>T37/E37</f>
        <v>15625</v>
      </c>
      <c r="BB37" s="247">
        <f>AC37/E37</f>
        <v>73136.8125</v>
      </c>
      <c r="BC37" s="247">
        <f t="shared" si="19"/>
        <v>590750</v>
      </c>
      <c r="BD37" s="258">
        <v>12678.109625000001</v>
      </c>
      <c r="BE37" t="s">
        <v>669</v>
      </c>
      <c r="BF37"/>
      <c r="BG37" s="258">
        <v>174837</v>
      </c>
      <c r="BH37" s="258">
        <v>81474</v>
      </c>
      <c r="BI37" s="258"/>
      <c r="BJ37" s="258">
        <v>25500</v>
      </c>
    </row>
    <row r="38" spans="1:63">
      <c r="AT38" s="258"/>
      <c r="AU38" s="258"/>
      <c r="AV38" s="258"/>
    </row>
    <row r="43" spans="1:63">
      <c r="BB43" s="247"/>
    </row>
    <row r="50" spans="8:8">
      <c r="H50" s="922"/>
    </row>
    <row r="51" spans="8:8">
      <c r="H51" s="922"/>
    </row>
    <row r="64" spans="8:8">
      <c r="H64" s="922"/>
    </row>
    <row r="65" spans="8:8">
      <c r="H65" s="922"/>
    </row>
    <row r="66" spans="8:8">
      <c r="H66" s="922"/>
    </row>
    <row r="68" spans="8:8">
      <c r="H68" s="323"/>
    </row>
    <row r="69" spans="8:8">
      <c r="H69" s="323"/>
    </row>
    <row r="71" spans="8:8">
      <c r="H71" s="323"/>
    </row>
    <row r="72" spans="8:8">
      <c r="H72" s="922"/>
    </row>
    <row r="73" spans="8:8">
      <c r="H73" s="922"/>
    </row>
    <row r="74" spans="8:8">
      <c r="H74" s="922"/>
    </row>
  </sheetData>
  <sheetProtection algorithmName="SHA-512" hashValue="x0dC6pOnrJcYXkLzbTSS7mex3IisMvaqxFURi1/YMl4/9alnjupDP3Sz7aXXYUP8A9kYo3E8NLjSF7jsIGklGg==" saltValue="Eopm98E3sIs7mWbolKnrVg==" spinCount="100000" sheet="1" objects="1" scenarios="1"/>
  <autoFilter ref="A1:AZ26" xr:uid="{F0DB795F-DF8C-4FE8-BC70-98677D2F52AE}"/>
  <dataValidations count="3">
    <dataValidation allowBlank="1" showInputMessage="1" showErrorMessage="1" sqref="AH8 AN20 AN23" xr:uid="{F04656B0-1022-4245-8540-1DE8F75439F2}"/>
    <dataValidation type="list" allowBlank="1" showInputMessage="1" showErrorMessage="1" sqref="D11 D13:D15" xr:uid="{80AF314B-1A3B-4BD4-9EDA-02DB0A93948E}">
      <formula1>#REF!</formula1>
    </dataValidation>
    <dataValidation type="list" allowBlank="1" showInputMessage="1" showErrorMessage="1" sqref="I6:I10" xr:uid="{5F3EF9E0-E604-4877-B904-6F3F25DF5791}">
      <formula1>$BF$3:$BF$4</formula1>
    </dataValidation>
  </dataValidations>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1FC97-FD7E-472A-B837-D89FC7AD6057}">
  <dimension ref="A1:AE106"/>
  <sheetViews>
    <sheetView zoomScale="130" zoomScaleNormal="130" workbookViewId="0">
      <selection activeCell="K28" sqref="K28"/>
    </sheetView>
  </sheetViews>
  <sheetFormatPr defaultColWidth="8.85546875" defaultRowHeight="14.45"/>
  <cols>
    <col min="1" max="1" width="18.28515625" style="718" customWidth="1"/>
    <col min="2" max="2" width="13.7109375" style="718" customWidth="1"/>
    <col min="3" max="4" width="21.42578125" style="718" customWidth="1"/>
    <col min="5" max="5" width="18.7109375" style="718" customWidth="1"/>
    <col min="6" max="9" width="21.42578125" style="718" customWidth="1"/>
    <col min="10" max="10" width="14.5703125" style="718" customWidth="1"/>
    <col min="11" max="11" width="14.28515625" style="718" customWidth="1"/>
    <col min="12" max="12" width="15.85546875" style="718" customWidth="1"/>
    <col min="13" max="14" width="13.7109375" style="718" customWidth="1"/>
    <col min="15" max="15" width="17" style="718" customWidth="1"/>
    <col min="16" max="16" width="10" style="718" customWidth="1"/>
    <col min="17" max="17" width="22.7109375" style="718" customWidth="1"/>
    <col min="18" max="18" width="12" style="718" customWidth="1"/>
    <col min="19" max="19" width="14.28515625" style="718" customWidth="1"/>
    <col min="20" max="21" width="12.42578125" style="718" customWidth="1"/>
    <col min="22" max="22" width="15" style="718" customWidth="1"/>
    <col min="23" max="25" width="12.42578125" style="718" customWidth="1"/>
    <col min="26" max="31" width="13" style="718" customWidth="1"/>
    <col min="32" max="16384" width="8.85546875" style="718"/>
  </cols>
  <sheetData>
    <row r="1" spans="1:31" ht="18">
      <c r="A1" s="960" t="s">
        <v>670</v>
      </c>
      <c r="B1" s="961"/>
      <c r="C1" s="961"/>
      <c r="D1" s="961"/>
      <c r="E1" s="961"/>
      <c r="F1" s="961"/>
      <c r="G1" s="962"/>
      <c r="I1" s="960" t="s">
        <v>671</v>
      </c>
      <c r="J1" s="961"/>
      <c r="K1" s="961"/>
      <c r="L1" s="961"/>
      <c r="M1" s="961"/>
      <c r="N1" s="961"/>
      <c r="O1" s="962"/>
      <c r="Q1" s="960" t="s">
        <v>672</v>
      </c>
      <c r="R1" s="961"/>
      <c r="S1" s="961"/>
      <c r="T1" s="961"/>
      <c r="U1" s="961"/>
      <c r="V1" s="961"/>
      <c r="W1" s="962"/>
      <c r="Y1" s="960" t="s">
        <v>673</v>
      </c>
      <c r="Z1" s="961"/>
      <c r="AA1" s="961"/>
      <c r="AB1" s="961"/>
      <c r="AC1" s="961"/>
      <c r="AD1" s="961"/>
      <c r="AE1" s="962"/>
    </row>
    <row r="2" spans="1:31" ht="18">
      <c r="A2" s="717" t="s">
        <v>674</v>
      </c>
      <c r="C2" s="954" t="s">
        <v>675</v>
      </c>
      <c r="D2" s="954"/>
      <c r="E2" s="954"/>
      <c r="F2" s="954"/>
      <c r="G2" s="955"/>
      <c r="I2" s="717" t="s">
        <v>674</v>
      </c>
      <c r="K2" s="954" t="s">
        <v>676</v>
      </c>
      <c r="L2" s="954"/>
      <c r="M2" s="954"/>
      <c r="N2" s="954"/>
      <c r="O2" s="955"/>
      <c r="Q2" s="717" t="s">
        <v>674</v>
      </c>
      <c r="S2" s="954" t="s">
        <v>677</v>
      </c>
      <c r="T2" s="954"/>
      <c r="U2" s="954"/>
      <c r="V2" s="954"/>
      <c r="W2" s="955"/>
      <c r="X2" s="720"/>
      <c r="Y2" s="717" t="s">
        <v>674</v>
      </c>
      <c r="AA2" s="954" t="s">
        <v>678</v>
      </c>
      <c r="AB2" s="954"/>
      <c r="AC2" s="954"/>
      <c r="AD2" s="954"/>
      <c r="AE2" s="955"/>
    </row>
    <row r="3" spans="1:31">
      <c r="A3" s="719"/>
      <c r="B3" s="720" t="s">
        <v>679</v>
      </c>
      <c r="C3" s="720" t="s">
        <v>680</v>
      </c>
      <c r="D3" s="720" t="s">
        <v>238</v>
      </c>
      <c r="E3" s="720" t="s">
        <v>234</v>
      </c>
      <c r="F3" s="720" t="s">
        <v>322</v>
      </c>
      <c r="G3" s="721" t="s">
        <v>681</v>
      </c>
      <c r="I3" s="719"/>
      <c r="J3" s="720" t="s">
        <v>679</v>
      </c>
      <c r="K3" s="720" t="s">
        <v>680</v>
      </c>
      <c r="L3" s="720" t="s">
        <v>238</v>
      </c>
      <c r="M3" s="720" t="s">
        <v>234</v>
      </c>
      <c r="N3" s="720" t="s">
        <v>322</v>
      </c>
      <c r="O3" s="721" t="s">
        <v>681</v>
      </c>
      <c r="Q3" s="719"/>
      <c r="R3" s="720" t="s">
        <v>679</v>
      </c>
      <c r="S3" s="720" t="s">
        <v>680</v>
      </c>
      <c r="T3" s="720" t="s">
        <v>238</v>
      </c>
      <c r="U3" s="720" t="s">
        <v>234</v>
      </c>
      <c r="V3" s="720" t="s">
        <v>322</v>
      </c>
      <c r="W3" s="721" t="s">
        <v>681</v>
      </c>
      <c r="X3" s="720"/>
      <c r="Y3" s="719"/>
      <c r="Z3" s="720" t="s">
        <v>679</v>
      </c>
      <c r="AA3" s="720" t="s">
        <v>680</v>
      </c>
      <c r="AB3" s="720" t="s">
        <v>238</v>
      </c>
      <c r="AC3" s="720" t="s">
        <v>234</v>
      </c>
      <c r="AD3" s="720" t="s">
        <v>322</v>
      </c>
      <c r="AE3" s="721" t="s">
        <v>681</v>
      </c>
    </row>
    <row r="4" spans="1:31">
      <c r="A4" s="719" t="s">
        <v>600</v>
      </c>
      <c r="B4" s="774">
        <f>COUNTIF('Raw Cost Data'!$D2:$D37,'Cost Summary Table'!A4)</f>
        <v>2</v>
      </c>
      <c r="C4" s="722" cm="1">
        <f t="array" ref="C4">MEDIAN(_xlfn._xlws.FILTER('Raw Cost Data'!$AZ2:$AZ37,'Raw Cost Data'!$D$2:$D$37="Moderate Cost Suburban"))</f>
        <v>243151.59539473683</v>
      </c>
      <c r="D4" s="722" cm="1">
        <f t="array" ref="D4">MEDIAN(_xlfn._xlws.FILTER('Raw Cost Data'!$BA2:$BA37,'Raw Cost Data'!$D$2:$D$37="Moderate Cost Suburban"))</f>
        <v>34121.348684210527</v>
      </c>
      <c r="E4" s="722" cm="1">
        <f t="array" ref="E4">MEDIAN(_xlfn._xlws.FILTER('Raw Cost Data'!$BB2:$BB37,'Raw Cost Data'!$D$2:$D$37="Moderate Cost Suburban"))</f>
        <v>44382.6875</v>
      </c>
      <c r="F4" s="722" cm="1">
        <f t="array" ref="F4">MEDIAN(_xlfn._xlws.FILTER('Raw Cost Data'!$BC2:$BC37,'Raw Cost Data'!$D$2:$D$37="Moderate Cost Suburban"))</f>
        <v>321655.63157894736</v>
      </c>
      <c r="G4" s="723" cm="1">
        <f t="array" ref="G4">MEDIAN(_xlfn._xlws.FILTER('Raw Cost Data'!$BD$2:$BD$37,'Raw Cost Data'!$D$2:$D$37="Moderate Cost Suburban"))</f>
        <v>8830.1940789473683</v>
      </c>
      <c r="I4" s="719" t="s">
        <v>600</v>
      </c>
      <c r="J4" s="774">
        <f>COUNTIF('Raw Cost Data'!$D2:$D37,'Cost Summary Table'!I4)</f>
        <v>2</v>
      </c>
      <c r="K4" s="722" cm="1">
        <f t="array" ref="K4">AVERAGE(_xlfn._xlws.FILTER('Raw Cost Data'!$AZ2:$AZ37,'Raw Cost Data'!$D$2:$D$37="Moderate Cost Suburban"))</f>
        <v>243151.59539473683</v>
      </c>
      <c r="L4" s="722" cm="1">
        <f t="array" ref="L4">AVERAGE(_xlfn._xlws.FILTER('Raw Cost Data'!$BA2:$BA37,'Raw Cost Data'!$D$2:$D$37="Moderate Cost Suburban"))</f>
        <v>34121.348684210527</v>
      </c>
      <c r="M4" s="722" cm="1">
        <f t="array" ref="M4">AVERAGE(_xlfn._xlws.FILTER('Raw Cost Data'!$BB2:$BB37,'Raw Cost Data'!$D$2:$D$37="Moderate Cost Suburban"))</f>
        <v>44382.6875</v>
      </c>
      <c r="N4" s="722" cm="1">
        <f t="array" ref="N4">AVERAGE(_xlfn._xlws.FILTER('Raw Cost Data'!$BC2:$BC37,'Raw Cost Data'!$D$2:$D$37="Moderate Cost Suburban"))</f>
        <v>321655.63157894736</v>
      </c>
      <c r="O4" s="723" cm="1">
        <f t="array" ref="O4">AVERAGE(_xlfn._xlws.FILTER('Raw Cost Data'!$BD$2:$BD$37,'Raw Cost Data'!$D$2:$D$37="Moderate Cost Suburban"))</f>
        <v>8830.1940789473683</v>
      </c>
      <c r="Q4" s="719" t="s">
        <v>600</v>
      </c>
      <c r="R4" s="718">
        <f>COUNTIF('Raw Cost Data'!$D2:$D37,'Cost Summary Table'!Q4)</f>
        <v>2</v>
      </c>
      <c r="S4" s="722" cm="1">
        <f t="array" ref="S4">MIN(_xlfn._xlws.FILTER('Raw Cost Data'!$AZ2:$AZ37,'Raw Cost Data'!$D$2:$D$37="Moderate Cost Suburban",))</f>
        <v>197698.79605263157</v>
      </c>
      <c r="T4" s="722" cm="1">
        <f t="array" ref="T4">MIN(_xlfn._xlws.FILTER('Raw Cost Data'!$BA2:$BA37,'Raw Cost Data'!$D$2:$D$37="Moderate Cost Suburban"))</f>
        <v>25555.697368421053</v>
      </c>
      <c r="U4" s="722" cm="1">
        <f t="array" ref="U4">MIN(_xlfn._xlws.FILTER('Raw Cost Data'!$BB2:$BB37,'Raw Cost Data'!$D$2:$D$37="Moderate Cost Suburban"))</f>
        <v>35351.03289473684</v>
      </c>
      <c r="V4" s="722" cm="1">
        <f t="array" ref="V4">MIN(_xlfn._xlws.FILTER('Raw Cost Data'!$BC2:$BC37,'Raw Cost Data'!$D$2:$D$37="Moderate Cost Suburban"))</f>
        <v>258605.52631578947</v>
      </c>
      <c r="W4" s="723" cm="1">
        <f t="array" ref="W4">MIN(_xlfn._xlws.FILTER('Raw Cost Data'!$BD$2:$BD$37,'Raw Cost Data'!$D$2:$D$37="Moderate Cost Suburban"))</f>
        <v>8715.8815789473683</v>
      </c>
      <c r="X4" s="727"/>
      <c r="Y4" s="719" t="s">
        <v>600</v>
      </c>
      <c r="Z4" s="774">
        <f>COUNTIF('Raw Cost Data'!$D2:$D37,'Cost Summary Table'!Y4)</f>
        <v>2</v>
      </c>
      <c r="AA4" s="722" cm="1">
        <f t="array" ref="AA4">MAX(_xlfn._xlws.FILTER('Raw Cost Data'!$AZ2:$AZ37,'Raw Cost Data'!$D$2:$D$37="Moderate Cost Suburban"))</f>
        <v>288604.39473684208</v>
      </c>
      <c r="AB4" s="722" cm="1">
        <f t="array" ref="AB4">MAX(_xlfn._xlws.FILTER('Raw Cost Data'!$BA2:$BA37,'Raw Cost Data'!$D$2:$D$37="Moderate Cost Suburban"))</f>
        <v>42687</v>
      </c>
      <c r="AC4" s="722" cm="1">
        <f t="array" ref="AC4">MAX(_xlfn._xlws.FILTER('Raw Cost Data'!$BB2:$BB37,'Raw Cost Data'!$D$2:$D$37="Moderate Cost Suburban"))</f>
        <v>53414.34210526316</v>
      </c>
      <c r="AD4" s="722" cm="1">
        <f t="array" ref="AD4">MAX(_xlfn._xlws.FILTER('Raw Cost Data'!$BC2:$BC37,'Raw Cost Data'!$D$2:$D$37="Moderate Cost Suburban"))</f>
        <v>384705.73684210528</v>
      </c>
      <c r="AE4" s="723" cm="1">
        <f t="array" ref="AE4">MAX(_xlfn._xlws.FILTER('Raw Cost Data'!$BD$2:$BD$37,'Raw Cost Data'!$D$2:$D$37="Moderate Cost Suburban"))</f>
        <v>8944.5065789473683</v>
      </c>
    </row>
    <row r="5" spans="1:31">
      <c r="A5" s="724" t="s">
        <v>608</v>
      </c>
      <c r="B5" s="774">
        <f>COUNTIF('Raw Cost Data'!$D2:$D37,'Cost Summary Table'!A5)</f>
        <v>10</v>
      </c>
      <c r="C5" s="722" cm="1">
        <f t="array" ref="C5">MEDIAN(_xlfn._xlws.FILTER('Raw Cost Data'!$AZ2:$AZ37,'Raw Cost Data'!$D$2:$D$37="Urban SoCal"))</f>
        <v>233750</v>
      </c>
      <c r="D5" s="722" cm="1">
        <f t="array" ref="D5">MEDIAN(_xlfn._xlws.FILTER('Raw Cost Data'!$BA2:$BA37,'Raw Cost Data'!$D$2:$D$37="Urban SoCal"))</f>
        <v>43692.084000000003</v>
      </c>
      <c r="E5" s="722" cm="1">
        <f t="array" ref="E5">MEDIAN(_xlfn._xlws.FILTER('Raw Cost Data'!$BB2:$BB37,'Raw Cost Data'!$D$2:$D$37="Urban SoCal"))</f>
        <v>57535.462499999994</v>
      </c>
      <c r="F5" s="722" cm="1">
        <f t="array" ref="F5">MEDIAN(_xlfn._xlws.FILTER('Raw Cost Data'!$BC2:$BC37,'Raw Cost Data'!$D$2:$D$37="Urban SoCal"))</f>
        <v>346133.62058730156</v>
      </c>
      <c r="G5" s="723" cm="1">
        <f t="array" ref="G5">MEDIAN(_xlfn._xlws.FILTER('Raw Cost Data'!$BD$2:$BD$37,'Raw Cost Data'!$D$2:$D$37="Urban SoCal"))</f>
        <v>9480.7000000000007</v>
      </c>
      <c r="I5" s="724" t="s">
        <v>608</v>
      </c>
      <c r="J5" s="774">
        <f>COUNTIF('Raw Cost Data'!$D2:$D37,'Cost Summary Table'!I5)</f>
        <v>10</v>
      </c>
      <c r="K5" s="722" cm="1">
        <f t="array" ref="K5">AVERAGE(_xlfn._xlws.FILTER('Raw Cost Data'!$AZ2:$AZ37,'Raw Cost Data'!$D$2:$D$37="Urban SoCal"))</f>
        <v>247915.00721500721</v>
      </c>
      <c r="L5" s="722" cm="1">
        <f t="array" ref="L5">AVERAGE(_xlfn._xlws.FILTER('Raw Cost Data'!$BA2:$BA37,'Raw Cost Data'!$D$2:$D$37="Urban SoCal"))</f>
        <v>48117.325110606063</v>
      </c>
      <c r="M5" s="722" cm="1">
        <f t="array" ref="M5">AVERAGE(_xlfn._xlws.FILTER('Raw Cost Data'!$BB2:$BB37,'Raw Cost Data'!$D$2:$D$37="Urban SoCal"))</f>
        <v>52204.91060775613</v>
      </c>
      <c r="N5" s="722" cm="1">
        <f t="array" ref="N5">AVERAGE(_xlfn._xlws.FILTER('Raw Cost Data'!$BC2:$BC37,'Raw Cost Data'!$D$2:$D$37="Urban SoCal"))</f>
        <v>348237.24293336936</v>
      </c>
      <c r="O5" s="723" cm="1">
        <f t="array" ref="O5">AVERAGE(_xlfn._xlws.FILTER('Raw Cost Data'!$BD$2:$BD$37,'Raw Cost Data'!$D$2:$D$37="Urban SoCal"))</f>
        <v>9921.9912484848483</v>
      </c>
      <c r="Q5" s="777" t="s">
        <v>608</v>
      </c>
      <c r="R5" s="774">
        <f>COUNTIF('Raw Cost Data'!$D2:$D37,'Cost Summary Table'!Q5)</f>
        <v>10</v>
      </c>
      <c r="S5" s="722" cm="1">
        <f t="array" ref="S5">MIN(_xlfn._xlws.FILTER('Raw Cost Data'!$AZ2:$AZ37,'Raw Cost Data'!$D$2:$D$37="Urban SoCal"))</f>
        <v>138000</v>
      </c>
      <c r="T5" s="722" cm="1">
        <f t="array" ref="T5">MIN(_xlfn._xlws.FILTER('Raw Cost Data'!$BA2:$BA37,'Raw Cost Data'!$D$2:$D$37="Urban SoCal"))</f>
        <v>4530</v>
      </c>
      <c r="U5" s="722" cm="1">
        <f t="array" ref="U5">MIN(_xlfn._xlws.FILTER('Raw Cost Data'!$BB2:$BB37,'Raw Cost Data'!$D$2:$D$37="Urban SoCal"))</f>
        <v>10000</v>
      </c>
      <c r="V5" s="722" cm="1">
        <f t="array" ref="V5">MIN(_xlfn._xlws.FILTER('Raw Cost Data'!$BC2:$BC37,'Raw Cost Data'!$D$2:$D$37="Urban SoCal"))</f>
        <v>152530</v>
      </c>
      <c r="W5" s="723" cm="1">
        <f t="array" ref="W5">MIN(_xlfn._xlws.FILTER('Raw Cost Data'!$BD$2:$BD$37,'Raw Cost Data'!$D$2:$D$37="Urban SoCal"))</f>
        <v>4526.2</v>
      </c>
      <c r="X5" s="727"/>
      <c r="Y5" s="724" t="s">
        <v>608</v>
      </c>
      <c r="Z5" s="774">
        <f>COUNTIF('Raw Cost Data'!$D2:$D37,'Cost Summary Table'!Y5)</f>
        <v>10</v>
      </c>
      <c r="AA5" s="728" cm="1">
        <f t="array" ref="AA5">MAX(_xlfn._xlws.FILTER('Raw Cost Data'!$AZ2:$AZ37,'Raw Cost Data'!$D$2:$D$37="Urban SoCal"))</f>
        <v>400000</v>
      </c>
      <c r="AB5" s="728" cm="1">
        <f t="array" ref="AB5">MAX(_xlfn._xlws.FILTER('Raw Cost Data'!$BA2:$BA37,'Raw Cost Data'!$D$2:$D$37="Urban SoCal"))</f>
        <v>118691</v>
      </c>
      <c r="AC5" s="728" cm="1">
        <f t="array" ref="AC5">MAX(_xlfn._xlws.FILTER('Raw Cost Data'!$BB2:$BB37,'Raw Cost Data'!$D$2:$D$37="Urban SoCal"))</f>
        <v>94741.25</v>
      </c>
      <c r="AD5" s="728" cm="1">
        <f t="array" ref="AD5">MAX(_xlfn._xlws.FILTER('Raw Cost Data'!$BC2:$BC37,'Raw Cost Data'!$D$2:$D$37="Urban SoCal"))</f>
        <v>506975.94750000001</v>
      </c>
      <c r="AE5" s="729" cm="1">
        <f t="array" ref="AE5">MAX(_xlfn._xlws.FILTER('Raw Cost Data'!$BD$2:$BD$37,'Raw Cost Data'!$D$2:$D$37="Urban SoCal"))</f>
        <v>15685.25</v>
      </c>
    </row>
    <row r="6" spans="1:31">
      <c r="A6" s="719" t="s">
        <v>616</v>
      </c>
      <c r="B6" s="774">
        <f>COUNTIF('Raw Cost Data'!$D2:$D37,'Cost Summary Table'!A6)</f>
        <v>4</v>
      </c>
      <c r="C6" s="722" cm="1">
        <f t="array" ref="C6">MEDIAN(_xlfn._xlws.FILTER('Raw Cost Data'!$AZ2:$AZ37,'Raw Cost Data'!$D$2:$D$37="Lower Cost Interior"))</f>
        <v>115125</v>
      </c>
      <c r="D6" s="722" cm="1">
        <f t="array" ref="D6">MEDIAN(_xlfn._xlws.FILTER('Raw Cost Data'!$BA2:$BA37,'Raw Cost Data'!$D$2:$D$37="Lower Cost Interior"))</f>
        <v>57506.516304347824</v>
      </c>
      <c r="E6" s="722" cm="1">
        <f t="array" ref="E6">MEDIAN(_xlfn._xlws.FILTER('Raw Cost Data'!$BB2:$BB37,'Raw Cost Data'!$D$2:$D$37="Lower Cost Interior"))</f>
        <v>87400.75</v>
      </c>
      <c r="F6" s="722" cm="1">
        <f t="array" ref="F6">MEDIAN(_xlfn._xlws.FILTER('Raw Cost Data'!$BC2:$BC37,'Raw Cost Data'!$D$2:$D$37="Lower Cost Interior"))</f>
        <v>254012.89673913043</v>
      </c>
      <c r="G6" s="723" cm="1">
        <f t="array" ref="G6">MEDIAN(_xlfn._xlws.FILTER('Raw Cost Data'!$BD$2:$BD$37,'Raw Cost Data'!$D$2:$D$37="Lower Cost Interior"))</f>
        <v>6874.7793103448275</v>
      </c>
      <c r="I6" s="719" t="s">
        <v>616</v>
      </c>
      <c r="J6" s="774">
        <f>COUNTIF('Raw Cost Data'!$D2:$D37,'Cost Summary Table'!I6)</f>
        <v>4</v>
      </c>
      <c r="K6" s="722" cm="1">
        <f t="array" ref="K6">AVERAGE(_xlfn._xlws.FILTER('Raw Cost Data'!$AZ2:$AZ37,'Raw Cost Data'!$D$2:$D$37="Lower Cost Interior"))</f>
        <v>111513.95502248875</v>
      </c>
      <c r="L6" s="722" cm="1">
        <f t="array" ref="L6">AVERAGE(_xlfn._xlws.FILTER('Raw Cost Data'!$BA2:$BA37,'Raw Cost Data'!$D$2:$D$37="Lower Cost Interior"))</f>
        <v>52574.831083208395</v>
      </c>
      <c r="M6" s="722" cm="1">
        <f t="array" ref="M6">AVERAGE(_xlfn._xlws.FILTER('Raw Cost Data'!$BB2:$BB37,'Raw Cost Data'!$D$2:$D$37="Lower Cost Interior"))</f>
        <v>90592.157608695648</v>
      </c>
      <c r="N6" s="722" cm="1">
        <f t="array" ref="N6">AVERAGE(_xlfn._xlws.FILTER('Raw Cost Data'!$BC2:$BC37,'Raw Cost Data'!$D$2:$D$37="Lower Cost Interior"))</f>
        <v>254680.94371439278</v>
      </c>
      <c r="O6" s="723" cm="1">
        <f t="array" ref="O6">AVERAGE(_xlfn._xlws.FILTER('Raw Cost Data'!$BD$2:$BD$37,'Raw Cost Data'!$D$2:$D$37="Lower Cost Interior"))</f>
        <v>7193.2646551724138</v>
      </c>
      <c r="Q6" s="778" t="s">
        <v>616</v>
      </c>
      <c r="R6" s="774">
        <f>COUNTIF('Raw Cost Data'!$D2:$D37,'Cost Summary Table'!Q6)</f>
        <v>4</v>
      </c>
      <c r="S6" s="728" cm="1">
        <f t="array" ref="S6">MIN(_xlfn._xlws.FILTER('Raw Cost Data'!$AZ2:$AZ37,'Raw Cost Data'!$D$2:$D$37="Lower Cost Interior"))</f>
        <v>91739.130434782608</v>
      </c>
      <c r="T6" s="728" cm="1">
        <f t="array" ref="T6">MIN(_xlfn._xlws.FILTER('Raw Cost Data'!$BA2:$BA37,'Raw Cost Data'!$D$2:$D$37="Lower Cost Interior"))</f>
        <v>3918.7400000000002</v>
      </c>
      <c r="U6" s="728" cm="1">
        <f t="array" ref="U6">MIN(_xlfn._xlws.FILTER('Raw Cost Data'!$BB2:$BB37,'Raw Cost Data'!$D$2:$D$37="Lower Cost Interior"))</f>
        <v>27991</v>
      </c>
      <c r="V6" s="728" cm="1">
        <f t="array" ref="V6">MIN(_xlfn._xlws.FILTER('Raw Cost Data'!$BC2:$BC37,'Raw Cost Data'!$D$2:$D$37="Lower Cost Interior"))</f>
        <v>155909.74</v>
      </c>
      <c r="W6" s="729" cm="1">
        <f t="array" ref="W6">MIN(_xlfn._xlws.FILTER('Raw Cost Data'!$BD$2:$BD$37,'Raw Cost Data'!$D$2:$D$37="Lower Cost Interior"))</f>
        <v>4667.5</v>
      </c>
      <c r="X6" s="727"/>
      <c r="Y6" s="719" t="s">
        <v>616</v>
      </c>
      <c r="Z6" s="774">
        <f>COUNTIF('Raw Cost Data'!$D2:$D37,'Cost Summary Table'!Y6)</f>
        <v>4</v>
      </c>
      <c r="AA6" s="728" cm="1">
        <f t="array" ref="AA6">MAX(_xlfn._xlws.FILTER('Raw Cost Data'!$AZ2:$AZ37,'Raw Cost Data'!$D$2:$D$37="Lower Cost Interior"))</f>
        <v>124066.68965517242</v>
      </c>
      <c r="AB6" s="728" cm="1">
        <f t="array" ref="AB6">MAX(_xlfn._xlws.FILTER('Raw Cost Data'!$BA2:$BA37,'Raw Cost Data'!$D$2:$D$37="Lower Cost Interior"))</f>
        <v>91367.551724137928</v>
      </c>
      <c r="AC6" s="728" cm="1">
        <f t="array" ref="AC6">MAX(_xlfn._xlws.FILTER('Raw Cost Data'!$BB2:$BB37,'Raw Cost Data'!$D$2:$D$37="Lower Cost Interior"))</f>
        <v>159576.13043478262</v>
      </c>
      <c r="AD6" s="728" cm="1">
        <f t="array" ref="AD6">MAX(_xlfn._xlws.FILTER('Raw Cost Data'!$BC2:$BC37,'Raw Cost Data'!$D$2:$D$37="Lower Cost Interior"))</f>
        <v>354788.24137931032</v>
      </c>
      <c r="AE6" s="729" cm="1">
        <f t="array" ref="AE6">MAX(_xlfn._xlws.FILTER('Raw Cost Data'!$BD$2:$BD$37,'Raw Cost Data'!$D$2:$D$37="Lower Cost Interior"))</f>
        <v>10356</v>
      </c>
    </row>
    <row r="7" spans="1:31">
      <c r="A7" s="719" t="s">
        <v>626</v>
      </c>
      <c r="B7" s="774">
        <f>COUNTIF('Raw Cost Data'!$D2:$D37,'Cost Summary Table'!A7)</f>
        <v>20</v>
      </c>
      <c r="C7" s="722" cm="1">
        <f t="array" ref="C7">MEDIAN(_xlfn._xlws.FILTER('Raw Cost Data'!$AZ2:$AZ37,'Raw Cost Data'!$D$2:$D$37="Bay Area"))</f>
        <v>342558.33333333331</v>
      </c>
      <c r="D7" s="722" cm="1">
        <f t="array" ref="D7">MEDIAN(_xlfn._xlws.FILTER('Raw Cost Data'!$BA2:$BA37,'Raw Cost Data'!$D$2:$D$37="Bay Area"))</f>
        <v>51386.75</v>
      </c>
      <c r="E7" s="722" cm="1">
        <f t="array" ref="E7">MEDIAN(_xlfn._xlws.FILTER('Raw Cost Data'!$BB2:$BB37,'Raw Cost Data'!$D$2:$D$37="Bay Area"))</f>
        <v>128692.76923076923</v>
      </c>
      <c r="F7" s="722" cm="1">
        <f t="array" ref="F7">MEDIAN(_xlfn._xlws.FILTER('Raw Cost Data'!$BC2:$BC37,'Raw Cost Data'!$D$2:$D$37="Bay Area"))</f>
        <v>568451.92307692301</v>
      </c>
      <c r="G7" s="723" cm="1">
        <f t="array" ref="G7">MEDIAN(_xlfn._xlws.FILTER('Raw Cost Data'!$BD$2:$BD$37,'Raw Cost Data'!$D$2:$D$37="Bay Area"))</f>
        <v>12346.333333333334</v>
      </c>
      <c r="I7" s="719" t="s">
        <v>626</v>
      </c>
      <c r="J7" s="774">
        <f>COUNTIF('Raw Cost Data'!$D2:$D37,'Cost Summary Table'!I7)</f>
        <v>20</v>
      </c>
      <c r="K7" s="722" cm="1">
        <f t="array" ref="K7">AVERAGE(_xlfn._xlws.FILTER('Raw Cost Data'!$AZ2:$AZ37,'Raw Cost Data'!$D$2:$D$37="Bay Area"))</f>
        <v>351323.75065620651</v>
      </c>
      <c r="L7" s="722" cm="1">
        <f t="array" ref="L7">AVERAGE(_xlfn._xlws.FILTER('Raw Cost Data'!$BA2:$BA37,'Raw Cost Data'!$D$2:$D$37="Bay Area"))</f>
        <v>55614.685275676929</v>
      </c>
      <c r="M7" s="722" cm="1">
        <f t="array" ref="M7">AVERAGE(_xlfn._xlws.FILTER('Raw Cost Data'!$BB2:$BB37,'Raw Cost Data'!$D$2:$D$37="Bay Area"))</f>
        <v>149945.44479969854</v>
      </c>
      <c r="N7" s="722" cm="1">
        <f t="array" ref="N7">AVERAGE(_xlfn._xlws.FILTER('Raw Cost Data'!$BC2:$BC37,'Raw Cost Data'!$D$2:$D$37="Bay Area"))</f>
        <v>573063.76679298282</v>
      </c>
      <c r="O7" s="723" cm="1">
        <f t="array" ref="O7">AVERAGE(_xlfn._xlws.FILTER('Raw Cost Data'!$BD$2:$BD$37,'Raw Cost Data'!$D$2:$D$37="Bay Area"))</f>
        <v>12179.876995589939</v>
      </c>
      <c r="Q7" s="778" t="s">
        <v>626</v>
      </c>
      <c r="R7" s="774">
        <f>COUNTIF('Raw Cost Data'!$D2:$D37,'Cost Summary Table'!Q7)</f>
        <v>20</v>
      </c>
      <c r="S7" s="728" cm="1">
        <f t="array" ref="S7">MIN(_xlfn._xlws.FILTER('Raw Cost Data'!$AZ2:$AZ37,'Raw Cost Data'!$D$2:$D$37="Bay Area"))</f>
        <v>100000</v>
      </c>
      <c r="T7" s="728" cm="1">
        <f t="array" ref="T7">MIN(_xlfn._xlws.FILTER('Raw Cost Data'!$BA2:$BA37,'Raw Cost Data'!$D$2:$D$37="Bay Area","N/A"))</f>
        <v>9397.1176470588234</v>
      </c>
      <c r="U7" s="728" cm="1">
        <f t="array" ref="U7">MIN(_xlfn._xlws.FILTER('Raw Cost Data'!$BB2:$BB37,'Raw Cost Data'!$D$2:$D$37="Bay Area"))</f>
        <v>39424.400000000001</v>
      </c>
      <c r="V7" s="728" cm="1">
        <f t="array" ref="V7">MIN(_xlfn._xlws.FILTER('Raw Cost Data'!$BC2:$BC37,'Raw Cost Data'!$D$2:$D$37="Bay Area"))</f>
        <v>312858.29411764705</v>
      </c>
      <c r="W7" s="729" cm="1">
        <f t="array" ref="W7">MIN(_xlfn._xlws.FILTER('Raw Cost Data'!$BD$2:$BD$37,'Raw Cost Data'!$D$2:$D$37="Bay Area"))</f>
        <v>7973.666666666667</v>
      </c>
      <c r="X7" s="727"/>
      <c r="Y7" s="719" t="s">
        <v>626</v>
      </c>
      <c r="Z7" s="774">
        <f>COUNTIF('Raw Cost Data'!$D2:$D37,'Cost Summary Table'!Y7)</f>
        <v>20</v>
      </c>
      <c r="AA7" s="728" cm="1">
        <f t="array" ref="AA7">MAX(_xlfn._xlws.FILTER('Raw Cost Data'!$AZ2:$AZ37,'Raw Cost Data'!$D$2:$D$37="Bay Area"))</f>
        <v>623333.33333333337</v>
      </c>
      <c r="AB7" s="728" cm="1">
        <f t="array" ref="AB7">MAX(_xlfn._xlws.FILTER('Raw Cost Data'!$BA2:$BA37,'Raw Cost Data'!$D$2:$D$37="Bay Area"))</f>
        <v>112511.42857142857</v>
      </c>
      <c r="AC7" s="728" cm="1">
        <f t="array" ref="AC7">MAX(_xlfn._xlws.FILTER('Raw Cost Data'!$BB2:$BB37,'Raw Cost Data'!$D$2:$D$37="Bay Area"))</f>
        <v>343627.5</v>
      </c>
      <c r="AD7" s="728" cm="1">
        <f t="array" ref="AD7">MAX(_xlfn._xlws.FILTER('Raw Cost Data'!$BC2:$BC37,'Raw Cost Data'!$D$2:$D$37="Bay Area"))</f>
        <v>930674.25</v>
      </c>
      <c r="AE7" s="729" cm="1">
        <f t="array" ref="AE7">MAX(_xlfn._xlws.FILTER('Raw Cost Data'!$BD$2:$BD$37,'Raw Cost Data'!$D$2:$D$37="Bay Area"))</f>
        <v>18800.23076923077</v>
      </c>
    </row>
    <row r="8" spans="1:31">
      <c r="A8" s="719" t="s">
        <v>682</v>
      </c>
      <c r="B8" s="774">
        <f>COUNT('Raw Cost Data'!A2:A40)</f>
        <v>36</v>
      </c>
      <c r="C8" s="775">
        <f>MEDIAN('Raw Cost Data'!$AZ2:$AZ37)</f>
        <v>265500</v>
      </c>
      <c r="D8" s="775">
        <f>MEDIAN('Raw Cost Data'!$BA2:$BA37)</f>
        <v>49403.5</v>
      </c>
      <c r="E8" s="775">
        <f>MEDIAN('Raw Cost Data'!$BB2:$BB37)</f>
        <v>90370.833333333328</v>
      </c>
      <c r="F8" s="775">
        <f>MEDIAN('Raw Cost Data'!$BC2:$BC37)</f>
        <v>409994.12166666664</v>
      </c>
      <c r="G8" s="776">
        <f>MEDIAN('Raw Cost Data'!$BD2:$BD37)</f>
        <v>10356</v>
      </c>
      <c r="I8" s="719" t="s">
        <v>682</v>
      </c>
      <c r="J8" s="774">
        <f>COUNT('Raw Cost Data'!A2:A40)</f>
        <v>36</v>
      </c>
      <c r="K8" s="775">
        <f>AVERAGE('Raw Cost Data'!$AZ2:$AZ37)</f>
        <v>289944.00267093419</v>
      </c>
      <c r="L8" s="775">
        <f>AVERAGE('Raw Cost Data'!$BA2:$BA37)</f>
        <v>51417.275869111916</v>
      </c>
      <c r="M8" s="775">
        <f>AVERAGE('Raw Cost Data'!$BB2:$BB37)</f>
        <v>106735.02039718846</v>
      </c>
      <c r="N8" s="775">
        <f>AVERAGE('Raw Cost Data'!$BC2:$BC37)</f>
        <v>461268.96675580047</v>
      </c>
      <c r="O8" s="776">
        <f>AVERAGE('Raw Cost Data'!$BD2:$BD37)</f>
        <v>10773.45777656119</v>
      </c>
      <c r="Q8" s="778" t="s">
        <v>682</v>
      </c>
      <c r="R8" s="774">
        <f>COUNT('Raw Cost Data'!$A2:$A40)</f>
        <v>36</v>
      </c>
      <c r="S8" s="779">
        <f>MIN('Raw Cost Data'!$AZ2:$AZ37)</f>
        <v>91739.130434782608</v>
      </c>
      <c r="T8" s="779">
        <f>MIN('Raw Cost Data'!$BA2:$BA37)</f>
        <v>3918.7400000000002</v>
      </c>
      <c r="U8" s="779">
        <f>MIN('Raw Cost Data'!$BB2:$BB37)</f>
        <v>10000</v>
      </c>
      <c r="V8" s="779">
        <f>MIN('Raw Cost Data'!$BC2:$BC37)</f>
        <v>152530</v>
      </c>
      <c r="W8" s="780">
        <f>MIN('Raw Cost Data'!$BD2:$BD37)</f>
        <v>4526.2</v>
      </c>
      <c r="Y8" s="719" t="s">
        <v>682</v>
      </c>
      <c r="Z8" s="774">
        <f>COUNT('Raw Cost Data'!$A2:$A40)</f>
        <v>36</v>
      </c>
      <c r="AA8" s="775">
        <f>MAX('Raw Cost Data'!$AZ2:$AZ37)</f>
        <v>623333.33333333337</v>
      </c>
      <c r="AB8" s="775">
        <f>MAX('Raw Cost Data'!$BA2:$BA37)</f>
        <v>118691</v>
      </c>
      <c r="AC8" s="775">
        <f>MAX('Raw Cost Data'!$BB2:$BB37)</f>
        <v>343627.5</v>
      </c>
      <c r="AD8" s="775">
        <f>MAX('Raw Cost Data'!$BC2:$BC37)</f>
        <v>930674.25</v>
      </c>
      <c r="AE8" s="776">
        <f>MAX('Raw Cost Data'!$BD2:$BD37)</f>
        <v>18800.23076923077</v>
      </c>
    </row>
    <row r="9" spans="1:31">
      <c r="A9" s="719"/>
      <c r="B9" s="774"/>
      <c r="C9" s="775"/>
      <c r="D9" s="775"/>
      <c r="E9" s="775"/>
      <c r="F9" s="775"/>
      <c r="G9" s="776"/>
      <c r="I9" s="719"/>
      <c r="J9" s="774"/>
      <c r="K9" s="775"/>
      <c r="L9" s="775"/>
      <c r="M9" s="775"/>
      <c r="N9" s="775"/>
      <c r="O9" s="776"/>
      <c r="Q9" s="719"/>
      <c r="W9" s="732"/>
      <c r="Y9" s="719"/>
      <c r="AE9" s="732"/>
    </row>
    <row r="10" spans="1:31" ht="18">
      <c r="A10" s="717" t="s">
        <v>555</v>
      </c>
      <c r="C10" s="954" t="s">
        <v>675</v>
      </c>
      <c r="D10" s="954"/>
      <c r="E10" s="954"/>
      <c r="F10" s="954"/>
      <c r="G10" s="955"/>
      <c r="I10" s="717" t="s">
        <v>555</v>
      </c>
      <c r="J10" s="774"/>
      <c r="K10" s="956" t="s">
        <v>675</v>
      </c>
      <c r="L10" s="956"/>
      <c r="M10" s="956"/>
      <c r="N10" s="956"/>
      <c r="O10" s="781"/>
      <c r="Q10" s="717" t="s">
        <v>555</v>
      </c>
      <c r="S10" s="954" t="s">
        <v>677</v>
      </c>
      <c r="T10" s="954"/>
      <c r="U10" s="954"/>
      <c r="V10" s="954"/>
      <c r="W10" s="732"/>
      <c r="Y10" s="717" t="s">
        <v>555</v>
      </c>
      <c r="AA10" s="954" t="s">
        <v>678</v>
      </c>
      <c r="AB10" s="954"/>
      <c r="AC10" s="954"/>
      <c r="AD10" s="954"/>
      <c r="AE10" s="732"/>
    </row>
    <row r="11" spans="1:31">
      <c r="A11" s="719"/>
      <c r="B11" s="720" t="s">
        <v>679</v>
      </c>
      <c r="C11" s="720" t="s">
        <v>680</v>
      </c>
      <c r="D11" s="720" t="s">
        <v>238</v>
      </c>
      <c r="E11" s="720" t="s">
        <v>234</v>
      </c>
      <c r="F11" s="720" t="s">
        <v>322</v>
      </c>
      <c r="G11" s="721" t="s">
        <v>681</v>
      </c>
      <c r="I11" s="719"/>
      <c r="J11" s="720" t="s">
        <v>679</v>
      </c>
      <c r="K11" s="720" t="s">
        <v>680</v>
      </c>
      <c r="L11" s="720" t="s">
        <v>238</v>
      </c>
      <c r="M11" s="720" t="s">
        <v>234</v>
      </c>
      <c r="N11" s="720" t="s">
        <v>322</v>
      </c>
      <c r="O11" s="721" t="s">
        <v>681</v>
      </c>
      <c r="Q11" s="719"/>
      <c r="R11" s="720" t="s">
        <v>679</v>
      </c>
      <c r="S11" s="720" t="s">
        <v>680</v>
      </c>
      <c r="T11" s="720" t="s">
        <v>238</v>
      </c>
      <c r="U11" s="720" t="s">
        <v>234</v>
      </c>
      <c r="V11" s="720" t="s">
        <v>322</v>
      </c>
      <c r="W11" s="721" t="s">
        <v>681</v>
      </c>
      <c r="Y11" s="719"/>
      <c r="Z11" s="720" t="s">
        <v>679</v>
      </c>
      <c r="AA11" s="720" t="s">
        <v>680</v>
      </c>
      <c r="AB11" s="720" t="s">
        <v>238</v>
      </c>
      <c r="AC11" s="720" t="s">
        <v>234</v>
      </c>
      <c r="AD11" s="720" t="s">
        <v>322</v>
      </c>
      <c r="AE11" s="721" t="s">
        <v>681</v>
      </c>
    </row>
    <row r="12" spans="1:31">
      <c r="A12" s="733" t="s">
        <v>606</v>
      </c>
      <c r="B12" s="718">
        <f>COUNTIF('Raw Cost Data'!$J2:$J37,'Cost Summary Table'!A12)</f>
        <v>25</v>
      </c>
      <c r="C12" s="725" cm="1">
        <f t="array" ref="C12">MEDIAN(_xlfn._xlws.FILTER('Raw Cost Data'!$AZ2:$AZ37,'Raw Cost Data'!$J$2:$J$37="1 to 15"))</f>
        <v>287500</v>
      </c>
      <c r="D12" s="725" cm="1">
        <f t="array" ref="D12">MEDIAN(_xlfn._xlws.FILTER('Raw Cost Data'!$BA2:$BA37,'Raw Cost Data'!$J$2:$J$37="1 to 15"))</f>
        <v>51386.75</v>
      </c>
      <c r="E12" s="725" cm="1">
        <f t="array" ref="E12">MEDIAN(_xlfn._xlws.FILTER('Raw Cost Data'!$BB2:$BB37,'Raw Cost Data'!$J$2:$J$37="1 to 15"))</f>
        <v>87157.916666666657</v>
      </c>
      <c r="F12" s="725" cm="1">
        <f t="array" ref="F12">MEDIAN(_xlfn._xlws.FILTER('Raw Cost Data'!$BC2:$BC37,'Raw Cost Data'!$J$2:$J$37="1 to 15"))</f>
        <v>470082.85714285716</v>
      </c>
      <c r="G12" s="726" cm="1">
        <f t="array" ref="G12">MEDIAN(_xlfn._xlws.FILTER('Raw Cost Data'!$BD2:$BD37,'Raw Cost Data'!$J$2:$J$37="1 to 15"))</f>
        <v>10266.666666666666</v>
      </c>
      <c r="I12" s="733" t="s">
        <v>606</v>
      </c>
      <c r="J12" s="718">
        <f>COUNTIF('Raw Cost Data'!$J2:$J37,'Cost Summary Table'!I12)</f>
        <v>25</v>
      </c>
      <c r="K12" s="725" cm="1">
        <f t="array" ref="K12">AVERAGE(_xlfn._xlws.FILTER('Raw Cost Data'!$AZ2:$AZ37,'Raw Cost Data'!$J$2:$J$37="1 to 15"))</f>
        <v>316701.639027639</v>
      </c>
      <c r="L12" s="725" cm="1">
        <f t="array" ref="L12">AVERAGE(_xlfn._xlws.FILTER('Raw Cost Data'!$BA2:$BA37,'Raw Cost Data'!$J$2:$J$37="1 to 15"))</f>
        <v>54999.235364128297</v>
      </c>
      <c r="M12" s="725" cm="1">
        <f t="array" ref="M12">AVERAGE(_xlfn._xlws.FILTER('Raw Cost Data'!$BB2:$BB37,'Raw Cost Data'!$J$2:$J$37="1 to 15"))</f>
        <v>102082.79191376803</v>
      </c>
      <c r="N12" s="725" cm="1">
        <f t="array" ref="N12">AVERAGE(_xlfn._xlws.FILTER('Raw Cost Data'!$BC2:$BC37,'Raw Cost Data'!$J$2:$J$37="1 to 15"))</f>
        <v>496289.59481240762</v>
      </c>
      <c r="O12" s="726" cm="1">
        <f t="array" ref="O12">AVERAGE(_xlfn._xlws.FILTER('Raw Cost Data'!$BD2:$BD37,'Raw Cost Data'!$J$2:$J$37="1 to 15"))</f>
        <v>10483.905964375625</v>
      </c>
      <c r="Q12" s="733" t="s">
        <v>606</v>
      </c>
      <c r="R12" s="718">
        <f>COUNTIF('Raw Cost Data'!$J2:$J34,'Cost Summary Table'!Q12)</f>
        <v>23</v>
      </c>
      <c r="S12" s="730" cm="1">
        <f t="array" ref="S12">MIN(_xlfn._xlws.FILTER('Raw Cost Data'!$AZ2:$AZ37,'Raw Cost Data'!$J$2:$J$37="1 to 15"))</f>
        <v>100000</v>
      </c>
      <c r="T12" s="730" cm="1">
        <f t="array" ref="T12">MIN(_xlfn._xlws.FILTER('Raw Cost Data'!$BA2:$BA37,'Raw Cost Data'!$J$2:$J$37="1 to 15"))</f>
        <v>3918.7400000000002</v>
      </c>
      <c r="U12" s="730" cm="1">
        <f t="array" ref="U12">MIN(_xlfn._xlws.FILTER('Raw Cost Data'!$BB2:$BB37,'Raw Cost Data'!$J$2:$J$37="1 to 15"))</f>
        <v>10000</v>
      </c>
      <c r="V12" s="730" cm="1">
        <f t="array" ref="V12">MIN(_xlfn._xlws.FILTER('Raw Cost Data'!$BC2:$BC37,'Raw Cost Data'!$J$2:$J$37="1 to 15"))</f>
        <v>152530</v>
      </c>
      <c r="W12" s="731" cm="1">
        <f t="array" ref="W12">MIN(_xlfn._xlws.FILTER('Raw Cost Data'!$BD2:$BD37,'Raw Cost Data'!$J$2:$J$37="1 to 15"))</f>
        <v>4526.2</v>
      </c>
      <c r="Y12" s="733" t="s">
        <v>606</v>
      </c>
      <c r="Z12" s="718">
        <f>COUNTIF('Raw Cost Data'!$J2:$J37,'Cost Summary Table'!Y12)</f>
        <v>25</v>
      </c>
      <c r="AA12" s="730" cm="1">
        <f t="array" ref="AA12">MAX(_xlfn._xlws.FILTER('Raw Cost Data'!$AZ2:$AZ37,'Raw Cost Data'!$J$2:$J$37="1 to 15"))</f>
        <v>623333.33333333337</v>
      </c>
      <c r="AB12" s="730" cm="1">
        <f t="array" ref="AB12">MAX(_xlfn._xlws.FILTER('Raw Cost Data'!$BA2:$BA37,'Raw Cost Data'!$J$2:$J$37="1 to 15"))</f>
        <v>118691</v>
      </c>
      <c r="AC12" s="730" cm="1">
        <f t="array" ref="AC12">MAX(_xlfn._xlws.FILTER('Raw Cost Data'!$BB2:$BB37,'Raw Cost Data'!$J$2:$J$37="1 to 15"))</f>
        <v>343627.5</v>
      </c>
      <c r="AD12" s="730" cm="1">
        <f t="array" ref="AD12">MAX(_xlfn._xlws.FILTER('Raw Cost Data'!$BC2:$BC37,'Raw Cost Data'!$J$2:$J$37="1 to 15"))</f>
        <v>930674.25</v>
      </c>
      <c r="AE12" s="731" cm="1">
        <f t="array" ref="AE12">MAX(_xlfn._xlws.FILTER('Raw Cost Data'!$BD2:$BD37,'Raw Cost Data'!$J$2:$J$37="1 to 15"))</f>
        <v>18800.23076923077</v>
      </c>
    </row>
    <row r="13" spans="1:31">
      <c r="A13" s="734" t="s">
        <v>610</v>
      </c>
      <c r="B13" s="718">
        <f>COUNTIF('Raw Cost Data'!$J2:$J37,'Cost Summary Table'!A13)</f>
        <v>6</v>
      </c>
      <c r="C13" s="725" cm="1">
        <f t="array" ref="C13">MEDIAN(_xlfn._xlws.FILTER('Raw Cost Data'!$AZ2:$AZ37,'Raw Cost Data'!$J$2:$J$37="16 to 30"))</f>
        <v>165705.88235294117</v>
      </c>
      <c r="D13" s="725" cm="1">
        <f t="array" ref="D13">MEDIAN(_xlfn._xlws.FILTER('Raw Cost Data'!$BA2:$BA37,'Raw Cost Data'!$J$2:$J$37="16 to 30"))</f>
        <v>76508.316250000003</v>
      </c>
      <c r="E13" s="725" cm="1">
        <f t="array" ref="E13">MEDIAN(_xlfn._xlws.FILTER('Raw Cost Data'!$BB2:$BB37,'Raw Cost Data'!$J$2:$J$37="16 to 30"))</f>
        <v>149465.0652173913</v>
      </c>
      <c r="F13" s="725" cm="1">
        <f t="array" ref="F13">MEDIAN(_xlfn._xlws.FILTER('Raw Cost Data'!$BC2:$BC37,'Raw Cost Data'!$J$2:$J$37="16 to 30"))</f>
        <v>385696.70068965515</v>
      </c>
      <c r="G13" s="726" cm="1">
        <f t="array" ref="G13">MEDIAN(_xlfn._xlws.FILTER('Raw Cost Data'!$BD2:$BD37,'Raw Cost Data'!$J$2:$J$37="16 to 30"))</f>
        <v>12678.109625000001</v>
      </c>
      <c r="I13" s="734" t="s">
        <v>610</v>
      </c>
      <c r="J13" s="718">
        <f>COUNTIF('Raw Cost Data'!$J2:$J37,'Cost Summary Table'!I13)</f>
        <v>6</v>
      </c>
      <c r="K13" s="725" cm="1">
        <f t="array" ref="K13">AVERAGE(_xlfn._xlws.FILTER('Raw Cost Data'!$AZ2:$AZ37,'Raw Cost Data'!$J$2:$J$37="16 to 30"))</f>
        <v>203182.09746597288</v>
      </c>
      <c r="L13" s="725" cm="1">
        <f t="array" ref="L13">AVERAGE(_xlfn._xlws.FILTER('Raw Cost Data'!$BA2:$BA37,'Raw Cost Data'!$J$2:$J$37="16 to 30"))</f>
        <v>56605.953645978487</v>
      </c>
      <c r="M13" s="725" cm="1">
        <f t="array" ref="M13">AVERAGE(_xlfn._xlws.FILTER('Raw Cost Data'!$BB2:$BB37,'Raw Cost Data'!$J$2:$J$37="16 to 30"))</f>
        <v>164429.55369991474</v>
      </c>
      <c r="N13" s="725" cm="1">
        <f t="array" ref="N13">AVERAGE(_xlfn._xlws.FILTER('Raw Cost Data'!$BC2:$BC37,'Raw Cost Data'!$J$2:$J$37="16 to 30"))</f>
        <v>417718.81045420299</v>
      </c>
      <c r="O13" s="726" cm="1">
        <f t="array" ref="O13">AVERAGE(_xlfn._xlws.FILTER('Raw Cost Data'!$BD2:$BD37,'Raw Cost Data'!$J$2:$J$37="16 to 30"))</f>
        <v>12010.97364913793</v>
      </c>
      <c r="Q13" s="734" t="s">
        <v>610</v>
      </c>
      <c r="R13" s="718">
        <f>COUNTIF('Raw Cost Data'!$J2:$J34,'Cost Summary Table'!Q13)</f>
        <v>5</v>
      </c>
      <c r="S13" s="730" cm="1">
        <f t="array" ref="S13">MIN(_xlfn._xlws.FILTER('Raw Cost Data'!$AZ2:$AZ37,'Raw Cost Data'!$J$2:$J$37="16 to 30"))</f>
        <v>91739.130434782608</v>
      </c>
      <c r="T13" s="730" cm="1">
        <f t="array" ref="T13">MIN(_xlfn._xlws.FILTER('Raw Cost Data'!$BA2:$BA37,'Raw Cost Data'!$J$2:$J$37="16 to 30"))</f>
        <v>9397.1176470588234</v>
      </c>
      <c r="U13" s="730" cm="1">
        <f t="array" ref="U13">MIN(_xlfn._xlws.FILTER('Raw Cost Data'!$BB2:$BB37,'Raw Cost Data'!$J$2:$J$37="16 to 30"))</f>
        <v>73136.8125</v>
      </c>
      <c r="V13" s="730" cm="1">
        <f t="array" ref="V13">MIN(_xlfn._xlws.FILTER('Raw Cost Data'!$BC2:$BC37,'Raw Cost Data'!$J$2:$J$37="16 to 30"))</f>
        <v>312858.29411764705</v>
      </c>
      <c r="W13" s="731" cm="1">
        <f t="array" ref="W13">MIN(_xlfn._xlws.FILTER('Raw Cost Data'!$BD2:$BD37,'Raw Cost Data'!$J$2:$J$37="16 to 30"))</f>
        <v>8007.7586206896549</v>
      </c>
      <c r="Y13" s="734" t="s">
        <v>610</v>
      </c>
      <c r="Z13" s="718">
        <f>COUNTIF('Raw Cost Data'!$J2:$J37,'Cost Summary Table'!Y13)</f>
        <v>6</v>
      </c>
      <c r="AA13" s="730" cm="1">
        <f t="array" ref="AA13">MAX(_xlfn._xlws.FILTER('Raw Cost Data'!$AZ2:$AZ37,'Raw Cost Data'!$J$2:$J$37="16 to 30"))</f>
        <v>484375</v>
      </c>
      <c r="AB13" s="730" cm="1">
        <f t="array" ref="AB13">MAX(_xlfn._xlws.FILTER('Raw Cost Data'!$BA2:$BA37,'Raw Cost Data'!$J$2:$J$37="16 to 30"))</f>
        <v>91367.551724137928</v>
      </c>
      <c r="AC13" s="730" cm="1">
        <f t="array" ref="AC13">MAX(_xlfn._xlws.FILTER('Raw Cost Data'!$BB2:$BB37,'Raw Cost Data'!$J$2:$J$37="16 to 30"))</f>
        <v>264605.15999999997</v>
      </c>
      <c r="AD13" s="730" cm="1">
        <f t="array" ref="AD13">MAX(_xlfn._xlws.FILTER('Raw Cost Data'!$BC2:$BC37,'Raw Cost Data'!$J$2:$J$37="16 to 30"))</f>
        <v>590750</v>
      </c>
      <c r="AE13" s="731" cm="1">
        <f t="array" ref="AE13">MAX(_xlfn._xlws.FILTER('Raw Cost Data'!$BD2:$BD37,'Raw Cost Data'!$J$2:$J$37="16 to 30"))</f>
        <v>15478</v>
      </c>
    </row>
    <row r="14" spans="1:31">
      <c r="A14" s="719" t="s">
        <v>613</v>
      </c>
      <c r="B14" s="718">
        <f>COUNTIF('Raw Cost Data'!$J2:$J37,'Cost Summary Table'!A14)</f>
        <v>5</v>
      </c>
      <c r="C14" s="725" cm="1">
        <f t="array" ref="C14">MEDIAN(_xlfn._xlws.FILTER('Raw Cost Data'!$AZ2:$AZ37,'Raw Cost Data'!$J$2:$J$37="31+"))</f>
        <v>288604.39473684208</v>
      </c>
      <c r="D14" s="725" cm="1">
        <f t="array" ref="D14">MEDIAN(_xlfn._xlws.FILTER('Raw Cost Data'!$BA2:$BA37,'Raw Cost Data'!$J$2:$J$37="31+"))</f>
        <v>21892.636184210525</v>
      </c>
      <c r="E14" s="725" cm="1">
        <f t="array" ref="E14">MEDIAN(_xlfn._xlws.FILTER('Raw Cost Data'!$BB2:$BB37,'Raw Cost Data'!$J$2:$J$37="31+"))</f>
        <v>35351.03289473684</v>
      </c>
      <c r="F14" s="725" cm="1">
        <f t="array" ref="F14">MEDIAN(_xlfn._xlws.FILTER('Raw Cost Data'!$BC2:$BC37,'Raw Cost Data'!$J$2:$J$37="31+"))</f>
        <v>343463.70909090911</v>
      </c>
      <c r="G14" s="726" cm="1">
        <f t="array" ref="G14">MEDIAN(_xlfn._xlws.FILTER('Raw Cost Data'!$BD2:$BD37,'Raw Cost Data'!$J$2:$J$37="31+"))</f>
        <v>9785.9500000000007</v>
      </c>
      <c r="I14" s="719" t="s">
        <v>613</v>
      </c>
      <c r="J14" s="718">
        <f>COUNTIF('Raw Cost Data'!$J2:$J37,'Cost Summary Table'!I14)</f>
        <v>5</v>
      </c>
      <c r="K14" s="725" cm="1">
        <f t="array" ref="K14">AVERAGE(_xlfn._xlws.FILTER('Raw Cost Data'!$AZ2:$AZ37,'Raw Cost Data'!$J$2:$J$37="31+"))</f>
        <v>260270.10713336369</v>
      </c>
      <c r="L14" s="725" cm="1">
        <f t="array" ref="L14">AVERAGE(_xlfn._xlws.FILTER('Raw Cost Data'!$BA2:$BA37,'Raw Cost Data'!$J$2:$J$37="31+"))</f>
        <v>25230.651425438595</v>
      </c>
      <c r="M14" s="725" cm="1">
        <f t="array" ref="M14">AVERAGE(_xlfn._xlws.FILTER('Raw Cost Data'!$BB2:$BB37,'Raw Cost Data'!$J$2:$J$37="31+"))</f>
        <v>57971.385760966819</v>
      </c>
      <c r="N14" s="725" cm="1">
        <f t="array" ref="N14">AVERAGE(_xlfn._xlws.FILTER('Raw Cost Data'!$BC2:$BC37,'Raw Cost Data'!$J$2:$J$37="31+"))</f>
        <v>338426.01403468137</v>
      </c>
      <c r="O14" s="726" cm="1">
        <f t="array" ref="O14">AVERAGE(_xlfn._xlws.FILTER('Raw Cost Data'!$BD2:$BD37,'Raw Cost Data'!$J$2:$J$37="31+"))</f>
        <v>10983.700964912281</v>
      </c>
      <c r="Q14" s="719" t="s">
        <v>613</v>
      </c>
      <c r="R14" s="718">
        <f>COUNTIF('Raw Cost Data'!$J2:$J34,'Cost Summary Table'!Q14)</f>
        <v>5</v>
      </c>
      <c r="S14" s="730" cm="1">
        <f t="array" ref="S14">MIN(_xlfn._xlws.FILTER('Raw Cost Data'!$AZ2:$AZ37,'Raw Cost Data'!$J$2:$J$37="31+"))</f>
        <v>174829.09090909091</v>
      </c>
      <c r="T14" s="730" cm="1">
        <f t="array" ref="T14">MIN(_xlfn._xlws.FILTER('Raw Cost Data'!$BA2:$BA37,'Raw Cost Data'!$J$2:$J$37="31+"))</f>
        <v>14450.333333333334</v>
      </c>
      <c r="U14" s="730" cm="1">
        <f t="array" ref="U14">MIN(_xlfn._xlws.FILTER('Raw Cost Data'!$BB2:$BB37,'Raw Cost Data'!$J$2:$J$37="31+"))</f>
        <v>16145.419750000001</v>
      </c>
      <c r="V14" s="730" cm="1">
        <f t="array" ref="V14">MIN(_xlfn._xlws.FILTER('Raw Cost Data'!$BC2:$BC37,'Raw Cost Data'!$J$2:$J$37="31+"))</f>
        <v>258605.52631578947</v>
      </c>
      <c r="W14" s="731" cm="1">
        <f t="array" ref="W14">MIN(_xlfn._xlws.FILTER('Raw Cost Data'!$BD2:$BD37,'Raw Cost Data'!$J$2:$J$37="31+"))</f>
        <v>8715.8815789473683</v>
      </c>
      <c r="Y14" s="719" t="s">
        <v>613</v>
      </c>
      <c r="Z14" s="718">
        <f>COUNTIF('Raw Cost Data'!$J2:$J37,'Cost Summary Table'!Y14)</f>
        <v>5</v>
      </c>
      <c r="AA14" s="730" cm="1">
        <f t="array" ref="AA14">MAX(_xlfn._xlws.FILTER('Raw Cost Data'!$AZ2:$AZ37,'Raw Cost Data'!$J$2:$J$37="31+"))</f>
        <v>336250</v>
      </c>
      <c r="AB14" s="730" cm="1">
        <f t="array" ref="AB14">MAX(_xlfn._xlws.FILTER('Raw Cost Data'!$BA2:$BA37,'Raw Cost Data'!$J$2:$J$37="31+"))</f>
        <v>42687</v>
      </c>
      <c r="AC14" s="730" cm="1">
        <f t="array" ref="AC14">MAX(_xlfn._xlws.FILTER('Raw Cost Data'!$BB2:$BB37,'Raw Cost Data'!$J$2:$J$37="31+"))</f>
        <v>168634.61818181819</v>
      </c>
      <c r="AD14" s="730" cm="1">
        <f t="array" ref="AD14">MAX(_xlfn._xlws.FILTER('Raw Cost Data'!$BC2:$BC37,'Raw Cost Data'!$J$2:$J$37="31+"))</f>
        <v>384705.73684210528</v>
      </c>
      <c r="AE14" s="731" cm="1">
        <f t="array" ref="AE14">MAX(_xlfn._xlws.FILTER('Raw Cost Data'!$BD2:$BD37,'Raw Cost Data'!$J$2:$J$37="31+"))</f>
        <v>13907</v>
      </c>
    </row>
    <row r="15" spans="1:31">
      <c r="A15" s="719"/>
      <c r="C15" s="725"/>
      <c r="D15" s="725"/>
      <c r="E15" s="725"/>
      <c r="F15" s="725"/>
      <c r="G15" s="726"/>
      <c r="I15" s="719"/>
      <c r="O15" s="732"/>
      <c r="Q15" s="719"/>
      <c r="W15" s="732"/>
      <c r="Y15" s="719"/>
      <c r="AE15" s="732"/>
    </row>
    <row r="16" spans="1:31" ht="18">
      <c r="A16" s="717" t="s">
        <v>574</v>
      </c>
      <c r="C16" s="954" t="s">
        <v>675</v>
      </c>
      <c r="D16" s="954"/>
      <c r="E16" s="954"/>
      <c r="F16" s="954"/>
      <c r="G16" s="955"/>
      <c r="I16" s="717" t="s">
        <v>574</v>
      </c>
      <c r="O16" s="732"/>
      <c r="Q16" s="717" t="s">
        <v>574</v>
      </c>
      <c r="S16" s="954" t="s">
        <v>677</v>
      </c>
      <c r="T16" s="954"/>
      <c r="U16" s="954"/>
      <c r="V16" s="954"/>
      <c r="W16" s="955"/>
      <c r="Y16" s="717" t="s">
        <v>574</v>
      </c>
      <c r="AA16" s="954" t="s">
        <v>678</v>
      </c>
      <c r="AB16" s="954"/>
      <c r="AC16" s="954"/>
      <c r="AD16" s="954"/>
      <c r="AE16" s="955"/>
    </row>
    <row r="17" spans="1:31">
      <c r="A17" s="719"/>
      <c r="B17" s="720" t="s">
        <v>679</v>
      </c>
      <c r="C17" s="720" t="s">
        <v>680</v>
      </c>
      <c r="D17" s="720" t="s">
        <v>238</v>
      </c>
      <c r="E17" s="720" t="s">
        <v>234</v>
      </c>
      <c r="F17" s="720" t="s">
        <v>322</v>
      </c>
      <c r="G17" s="721" t="s">
        <v>681</v>
      </c>
      <c r="I17" s="719"/>
      <c r="J17" s="720" t="s">
        <v>679</v>
      </c>
      <c r="K17" s="720" t="s">
        <v>680</v>
      </c>
      <c r="L17" s="720" t="s">
        <v>238</v>
      </c>
      <c r="M17" s="720" t="s">
        <v>234</v>
      </c>
      <c r="N17" s="720" t="s">
        <v>322</v>
      </c>
      <c r="O17" s="721" t="s">
        <v>681</v>
      </c>
      <c r="Q17" s="719"/>
      <c r="R17" s="720" t="s">
        <v>679</v>
      </c>
      <c r="S17" s="720" t="s">
        <v>680</v>
      </c>
      <c r="T17" s="720" t="s">
        <v>238</v>
      </c>
      <c r="U17" s="720" t="s">
        <v>234</v>
      </c>
      <c r="V17" s="720" t="s">
        <v>322</v>
      </c>
      <c r="W17" s="721" t="s">
        <v>681</v>
      </c>
      <c r="Y17" s="719"/>
      <c r="Z17" s="720" t="s">
        <v>679</v>
      </c>
      <c r="AA17" s="720" t="s">
        <v>680</v>
      </c>
      <c r="AB17" s="720" t="s">
        <v>238</v>
      </c>
      <c r="AC17" s="720" t="s">
        <v>234</v>
      </c>
      <c r="AD17" s="720" t="s">
        <v>322</v>
      </c>
      <c r="AE17" s="721" t="s">
        <v>681</v>
      </c>
    </row>
    <row r="18" spans="1:31">
      <c r="A18" s="719" t="s">
        <v>609</v>
      </c>
      <c r="B18" s="718">
        <f>COUNTIF('Raw Cost Data'!$AF2:$AF37,'Cost Summary Table'!A18)</f>
        <v>14</v>
      </c>
      <c r="C18" s="725" cm="1">
        <f t="array" ref="C18">MEDIAN(_xlfn._xlws.FILTER('Raw Cost Data'!$AZ$2:$AZ$30,'Raw Cost Data'!$AF$2:$AF$30="Light"))</f>
        <v>272000</v>
      </c>
      <c r="D18" s="725" cm="1">
        <f t="array" ref="D18">MEDIAN(_xlfn._xlws.FILTER('Raw Cost Data'!$BA$2:$BA$30,'Raw Cost Data'!$AF$2:$AF$30="Light"))</f>
        <v>43692.084000000003</v>
      </c>
      <c r="E18" s="725" cm="1">
        <f t="array" ref="E18">MEDIAN(_xlfn._xlws.FILTER('Raw Cost Data'!$BB$2:$BB$30,'Raw Cost Data'!$AF$2:$AF$30="Light"))</f>
        <v>74388.524999999994</v>
      </c>
      <c r="F18" s="725" cm="1">
        <f t="array" ref="F18">MEDIAN(_xlfn._xlws.FILTER('Raw Cost Data'!$BC$2:$BC$30,'Raw Cost Data'!$AF$2:$AF$30="Light"))</f>
        <v>370624.99474999995</v>
      </c>
      <c r="G18" s="726" cm="1">
        <f t="array" ref="G18">MEDIAN(_xlfn._xlws.FILTER('Raw Cost Data'!$BD$2:$BD$30,'Raw Cost Data'!$AF$2:$AF$30="Light"))</f>
        <v>9785.9500000000007</v>
      </c>
      <c r="I18" s="719" t="s">
        <v>609</v>
      </c>
      <c r="J18" s="718">
        <f>COUNTIF('Raw Cost Data'!$AF2:$AF37,'Cost Summary Table'!I18)</f>
        <v>14</v>
      </c>
      <c r="K18" s="725" cm="1">
        <f t="array" ref="K18">AVERAGE(_xlfn._xlws.FILTER('Raw Cost Data'!$AZ$2:$AZ$37,'Raw Cost Data'!$AF$2:$AF$37="Light"))</f>
        <v>287607.25623582763</v>
      </c>
      <c r="L18" s="725" cm="1">
        <f t="array" ref="L18">AVERAGE(_xlfn._xlws.FILTER('Raw Cost Data'!$BA$2:$BA$37,'Raw Cost Data'!$AF$2:$AF$37="Light"))</f>
        <v>48864.546705128203</v>
      </c>
      <c r="M18" s="725" cm="1">
        <f t="array" ref="M18">AVERAGE(_xlfn._xlws.FILTER('Raw Cost Data'!$BB$2:$BB$37,'Raw Cost Data'!$AF$2:$AF$37="Light"))</f>
        <v>66488.932901643988</v>
      </c>
      <c r="N18" s="725" cm="1">
        <f t="array" ref="N18">AVERAGE(_xlfn._xlws.FILTER('Raw Cost Data'!$BC$2:$BC$37,'Raw Cost Data'!$AF$2:$AF$37="Light"))</f>
        <v>419422.01822080504</v>
      </c>
      <c r="O18" s="726" cm="1">
        <f t="array" ref="O18">AVERAGE(_xlfn._xlws.FILTER('Raw Cost Data'!$BD$2:$BD$37,'Raw Cost Data'!$AF$2:$AF$37="Light"))</f>
        <v>10038.27832142857</v>
      </c>
      <c r="Q18" s="719" t="s">
        <v>609</v>
      </c>
      <c r="R18" s="718">
        <f>COUNTIF('Raw Cost Data'!$AF2:$AF37,'Cost Summary Table'!Q18)</f>
        <v>14</v>
      </c>
      <c r="S18" s="730" cm="1">
        <f t="array" ref="S18">MIN(_xlfn._xlws.FILTER('Raw Cost Data'!$AZ$2:$AZ$37,'Raw Cost Data'!$AF$2:$AF$37="Light"))</f>
        <v>106250</v>
      </c>
      <c r="T18" s="730" cm="1">
        <f t="array" ref="T18">MIN(_xlfn._xlws.FILTER('Raw Cost Data'!$BA$2:$BA$37,'Raw Cost Data'!$AF$2:$AF$37="Light"))</f>
        <v>4530</v>
      </c>
      <c r="U18" s="730" cm="1">
        <f t="array" ref="U18">MIN(_xlfn._xlws.FILTER('Raw Cost Data'!$BB$2:$BB$37,'Raw Cost Data'!$AF$2:$AF$37="Light"))</f>
        <v>10000</v>
      </c>
      <c r="V18" s="730" cm="1">
        <f t="array" ref="V18">MIN(_xlfn._xlws.FILTER('Raw Cost Data'!$BC$2:$BC$37,'Raw Cost Data'!$AF$2:$AF$37="Light"))</f>
        <v>152530</v>
      </c>
      <c r="W18" s="731" cm="1">
        <f t="array" ref="W18">MIN(_xlfn._xlws.FILTER('Raw Cost Data'!$BD$2:$BD$37,'Raw Cost Data'!$AF$2:$AF$37="Light"))</f>
        <v>4526.2</v>
      </c>
      <c r="Y18" s="719" t="s">
        <v>609</v>
      </c>
      <c r="Z18" s="718">
        <f>COUNTIF('Raw Cost Data'!$AF2:$AF37,'Cost Summary Table'!Y18)</f>
        <v>14</v>
      </c>
      <c r="AA18" s="730" cm="1">
        <f t="array" ref="AA18">MAX(_xlfn._xlws.FILTER('Raw Cost Data'!$AZ$2:$AZ$37,'Raw Cost Data'!$AF$2:$AF$37="Light"))</f>
        <v>600000</v>
      </c>
      <c r="AB18" s="730" cm="1">
        <f t="array" ref="AB18">MAX(_xlfn._xlws.FILTER('Raw Cost Data'!$BA$2:$BA$37,'Raw Cost Data'!$AF$2:$AF$37="Light"))</f>
        <v>118691</v>
      </c>
      <c r="AC18" s="730" cm="1">
        <f t="array" ref="AC18">MAX(_xlfn._xlws.FILTER('Raw Cost Data'!$BB$2:$BB$37,'Raw Cost Data'!$AF$2:$AF$37="Light"))</f>
        <v>185790</v>
      </c>
      <c r="AD18" s="730" cm="1">
        <f t="array" ref="AD18">MAX(_xlfn._xlws.FILTER('Raw Cost Data'!$BC$2:$BC$37,'Raw Cost Data'!$AF$2:$AF$37="Light"))</f>
        <v>930674.25</v>
      </c>
      <c r="AE18" s="731" cm="1">
        <f t="array" ref="AE18">MAX(_xlfn._xlws.FILTER('Raw Cost Data'!$BD$2:$BD$37,'Raw Cost Data'!$AF$2:$AF$37="Light"))</f>
        <v>15685.25</v>
      </c>
    </row>
    <row r="19" spans="1:31">
      <c r="A19" s="719" t="s">
        <v>618</v>
      </c>
      <c r="B19" s="718">
        <f>COUNTIF('Raw Cost Data'!$AF2:$AF37,'Cost Summary Table'!A19)</f>
        <v>15</v>
      </c>
      <c r="C19" s="725" cm="1">
        <f t="array" ref="C19">MEDIAN(_xlfn._xlws.FILTER('Raw Cost Data'!$AZ$2:$AZ$30,'Raw Cost Data'!$AF$2:$AF$30="Moderate"))</f>
        <v>210989.21568627452</v>
      </c>
      <c r="D19" s="725" cm="1">
        <f t="array" ref="D19">MEDIAN(_xlfn._xlws.FILTER('Raw Cost Data'!$BA$2:$BA$30,'Raw Cost Data'!$AF$2:$AF$30="Moderate"))</f>
        <v>51386.75</v>
      </c>
      <c r="E19" s="725" cm="1">
        <f t="array" ref="E19">MEDIAN(_xlfn._xlws.FILTER('Raw Cost Data'!$BB$2:$BB$30,'Raw Cost Data'!$AF$2:$AF$30="Moderate"))</f>
        <v>110692.78280542986</v>
      </c>
      <c r="F19" s="725" cm="1">
        <f t="array" ref="F19">MEDIAN(_xlfn._xlws.FILTER('Raw Cost Data'!$BC$2:$BC$30,'Raw Cost Data'!$AF$2:$AF$30="Moderate"))</f>
        <v>373423.39621212124</v>
      </c>
      <c r="G19" s="726" cm="1">
        <f t="array" ref="G19">MEDIAN(_xlfn._xlws.FILTER('Raw Cost Data'!$BD$2:$BD$30,'Raw Cost Data'!$AF$2:$AF$30="Moderate"))</f>
        <v>11693.096153846154</v>
      </c>
      <c r="I19" s="719" t="s">
        <v>618</v>
      </c>
      <c r="J19" s="718">
        <f>COUNTIF('Raw Cost Data'!$AF2:$AF37,'Cost Summary Table'!I19)</f>
        <v>15</v>
      </c>
      <c r="K19" s="725" cm="1">
        <f t="array" ref="K19">AVERAGE(_xlfn._xlws.FILTER('Raw Cost Data'!$AZ$2:$AZ$37,'Raw Cost Data'!$AF$2:$AF$37="Moderate"))</f>
        <v>339236.0109759522</v>
      </c>
      <c r="L19" s="725" cm="1">
        <f t="array" ref="L19">AVERAGE(_xlfn._xlws.FILTER('Raw Cost Data'!$BA$2:$BA$37,'Raw Cost Data'!$AF$2:$AF$37="Moderate"))</f>
        <v>39201.924386647224</v>
      </c>
      <c r="M19" s="725" cm="1">
        <f t="array" ref="M19">AVERAGE(_xlfn._xlws.FILTER('Raw Cost Data'!$BB$2:$BB$37,'Raw Cost Data'!$AF$2:$AF$37="Moderate"))</f>
        <v>132329.83622907635</v>
      </c>
      <c r="N19" s="725" cm="1">
        <f t="array" ref="N19">AVERAGE(_xlfn._xlws.FILTER('Raw Cost Data'!$BC$2:$BC$37,'Raw Cost Data'!$AF$2:$AF$37="Moderate"))</f>
        <v>517590.97905839258</v>
      </c>
      <c r="O19" s="726" cm="1">
        <f t="array" ref="O19">AVERAGE(_xlfn._xlws.FILTER('Raw Cost Data'!$BD$2:$BD$37,'Raw Cost Data'!$AF$2:$AF$37="Moderate"))</f>
        <v>11997.166847372075</v>
      </c>
      <c r="Q19" s="719" t="s">
        <v>618</v>
      </c>
      <c r="R19" s="718">
        <f>COUNTIF('Raw Cost Data'!$AF2:$AF37,'Cost Summary Table'!Q19)</f>
        <v>15</v>
      </c>
      <c r="S19" s="730" cm="1">
        <f t="array" ref="S19">MIN(_xlfn._xlws.FILTER('Raw Cost Data'!$AZ$2:$AZ$37,'Raw Cost Data'!$AF$2:$AF$37="Moderate"))</f>
        <v>124000</v>
      </c>
      <c r="T19" s="730" cm="1">
        <f t="array" ref="T19">MIN(_xlfn._xlws.FILTER('Raw Cost Data'!$BA$2:$BA$37,'Raw Cost Data'!$AF$2:$AF$37="Moderate"))</f>
        <v>3918.7400000000002</v>
      </c>
      <c r="U19" s="730" cm="1">
        <f t="array" ref="U19">MIN(_xlfn._xlws.FILTER('Raw Cost Data'!$BB$2:$BB$37,'Raw Cost Data'!$AF$2:$AF$37="Moderate"))</f>
        <v>27991</v>
      </c>
      <c r="V19" s="730" cm="1">
        <f t="array" ref="V19">MIN(_xlfn._xlws.FILTER('Raw Cost Data'!$BC$2:$BC$37,'Raw Cost Data'!$AF$2:$AF$37="Moderate"))</f>
        <v>155909.74</v>
      </c>
      <c r="W19" s="731" cm="1">
        <f t="array" ref="W19">MIN(_xlfn._xlws.FILTER('Raw Cost Data'!$BD$2:$BD$37,'Raw Cost Data'!$AF$2:$AF$37="Moderate"))</f>
        <v>5741.8</v>
      </c>
      <c r="Y19" s="719" t="s">
        <v>618</v>
      </c>
      <c r="Z19" s="718">
        <f>COUNTIF('Raw Cost Data'!$AF2:$AF37,'Cost Summary Table'!Y19)</f>
        <v>15</v>
      </c>
      <c r="AA19" s="730" cm="1">
        <f t="array" ref="AA19">MAX(_xlfn._xlws.FILTER('Raw Cost Data'!$AZ$2:$AZ$37,'Raw Cost Data'!$AF$2:$AF$37="Moderate"))</f>
        <v>623333.33333333337</v>
      </c>
      <c r="AB19" s="730" cm="1">
        <f t="array" ref="AB19">MAX(_xlfn._xlws.FILTER('Raw Cost Data'!$BA$2:$BA$37,'Raw Cost Data'!$AF$2:$AF$37="Moderate"))</f>
        <v>70445.583333333328</v>
      </c>
      <c r="AC19" s="730" cm="1">
        <f t="array" ref="AC19">MAX(_xlfn._xlws.FILTER('Raw Cost Data'!$BB$2:$BB$37,'Raw Cost Data'!$AF$2:$AF$37="Moderate"))</f>
        <v>343627.5</v>
      </c>
      <c r="AD19" s="730" cm="1">
        <f t="array" ref="AD19">MAX(_xlfn._xlws.FILTER('Raw Cost Data'!$BC$2:$BC$37,'Raw Cost Data'!$AF$2:$AF$37="Moderate"))</f>
        <v>818544.41666666663</v>
      </c>
      <c r="AE19" s="731" cm="1">
        <f t="array" ref="AE19">MAX(_xlfn._xlws.FILTER('Raw Cost Data'!$BD$2:$BD$37,'Raw Cost Data'!$AF$2:$AF$37="Moderate"))</f>
        <v>18800.23076923077</v>
      </c>
    </row>
    <row r="20" spans="1:31">
      <c r="A20" s="735" t="s">
        <v>603</v>
      </c>
      <c r="B20" s="736">
        <f>COUNTIF('Raw Cost Data'!$AF2:$AF37,'Cost Summary Table'!A20)</f>
        <v>6</v>
      </c>
      <c r="C20" s="737" cm="1">
        <f t="array" ref="C20">MEDIAN(_xlfn._xlws.FILTER('Raw Cost Data'!$AZ$2:$AZ$30,'Raw Cost Data'!$AF$2:$AF$30="Substantial"))</f>
        <v>155783.3448275862</v>
      </c>
      <c r="D20" s="737" cm="1">
        <f t="array" ref="D20">MEDIAN(_xlfn._xlws.FILTER('Raw Cost Data'!$BA$2:$BA$30,'Raw Cost Data'!$AF$2:$AF$30="Substantial"))</f>
        <v>83320.049429347826</v>
      </c>
      <c r="E20" s="737" cm="1">
        <f t="array" ref="E20">MEDIAN(_xlfn._xlws.FILTER('Raw Cost Data'!$BB$2:$BB$30,'Raw Cost Data'!$AF$2:$AF$30="Substantial"))</f>
        <v>149465.0652173913</v>
      </c>
      <c r="F20" s="737" cm="1">
        <f t="array" ref="F20">MEDIAN(_xlfn._xlws.FILTER('Raw Cost Data'!$BC$2:$BC$30,'Raw Cost Data'!$AF$2:$AF$30="Substantial"))</f>
        <v>369746.98911070777</v>
      </c>
      <c r="G20" s="738" cm="1">
        <f t="array" ref="G20">MEDIAN(_xlfn._xlws.FILTER('Raw Cost Data'!$BD$2:$BD$30,'Raw Cost Data'!$AF$2:$AF$30="Substantial"))</f>
        <v>8715.8815789473683</v>
      </c>
      <c r="I20" s="735" t="s">
        <v>603</v>
      </c>
      <c r="J20" s="736">
        <f>COUNTIF('Raw Cost Data'!$AF2:$AF37,'Cost Summary Table'!I20)</f>
        <v>6</v>
      </c>
      <c r="K20" s="737" cm="1">
        <f t="array" ref="K20">AVERAGE(_xlfn._xlws.FILTER('Raw Cost Data'!$AZ$2:$AZ$37,'Raw Cost Data'!$AF$2:$AF$37="Substantial"))</f>
        <v>164934.83514657145</v>
      </c>
      <c r="L20" s="737" cm="1">
        <f t="array" ref="L20">AVERAGE(_xlfn._xlws.FILTER('Raw Cost Data'!$BA$2:$BA$37,'Raw Cost Data'!$AF$2:$AF$37="Substantial"))</f>
        <v>73126.962753780521</v>
      </c>
      <c r="M20" s="737" cm="1">
        <f t="array" ref="M20">AVERAGE(_xlfn._xlws.FILTER('Raw Cost Data'!$BB$2:$BB$37,'Raw Cost Data'!$AF$2:$AF$37="Substantial"))</f>
        <v>145187.12358436853</v>
      </c>
      <c r="N20" s="737" cm="1">
        <f t="array" ref="N20">AVERAGE(_xlfn._xlws.FILTER('Raw Cost Data'!$BC$2:$BC$37,'Raw Cost Data'!$AF$2:$AF$37="Substantial"))</f>
        <v>383248.92148472049</v>
      </c>
      <c r="O20" s="738" cm="1">
        <f t="array" ref="O20">AVERAGE(_xlfn._xlws.FILTER('Raw Cost Data'!$BD$2:$BD$37,'Raw Cost Data'!$AF$2:$AF$37="Substantial"))</f>
        <v>8846.2579271454488</v>
      </c>
      <c r="Q20" s="735" t="s">
        <v>603</v>
      </c>
      <c r="R20" s="736">
        <f>COUNTIF('Raw Cost Data'!$AF2:$AF37,'Cost Summary Table'!Q20)</f>
        <v>6</v>
      </c>
      <c r="S20" s="739" cm="1">
        <f t="array" ref="S20">MIN(_xlfn._xlws.FILTER('Raw Cost Data'!$AZ$2:$AZ$37,'Raw Cost Data'!$AF$2:$AF$37="Substantial"))</f>
        <v>91739.130434782608</v>
      </c>
      <c r="T20" s="739" cm="1">
        <f t="array" ref="T20">MIN(_xlfn._xlws.FILTER('Raw Cost Data'!$BA$2:$BA$37,'Raw Cost Data'!$AF$2:$AF$37="Substantial"))</f>
        <v>25555.697368421053</v>
      </c>
      <c r="U20" s="739" cm="1">
        <f t="array" ref="U20">MIN(_xlfn._xlws.FILTER('Raw Cost Data'!$BB$2:$BB$37,'Raw Cost Data'!$AF$2:$AF$37="Substantial"))</f>
        <v>35351.03289473684</v>
      </c>
      <c r="V20" s="739" cm="1">
        <f t="array" ref="V20">MIN(_xlfn._xlws.FILTER('Raw Cost Data'!$BC$2:$BC$37,'Raw Cost Data'!$AF$2:$AF$37="Substantial"))</f>
        <v>258605.52631578947</v>
      </c>
      <c r="W20" s="740" cm="1">
        <f t="array" ref="W20">MIN(_xlfn._xlws.FILTER('Raw Cost Data'!$BD$2:$BD$37,'Raw Cost Data'!$AF$2:$AF$37="Substantial"))</f>
        <v>8007.7586206896549</v>
      </c>
      <c r="Y20" s="735" t="s">
        <v>603</v>
      </c>
      <c r="Z20" s="736">
        <f>COUNTIF('Raw Cost Data'!$AF2:$AF37,'Cost Summary Table'!Y20)</f>
        <v>6</v>
      </c>
      <c r="AA20" s="739" cm="1">
        <f t="array" ref="AA20">MAX(_xlfn._xlws.FILTER('Raw Cost Data'!$AZ$2:$AZ$37,'Raw Cost Data'!$AF$2:$AF$37="Substantial"))</f>
        <v>288604.39473684208</v>
      </c>
      <c r="AB20" s="739" cm="1">
        <f t="array" ref="AB20">MAX(_xlfn._xlws.FILTER('Raw Cost Data'!$BA$2:$BA$37,'Raw Cost Data'!$AF$2:$AF$37="Substantial"))</f>
        <v>112511.42857142857</v>
      </c>
      <c r="AC20" s="739" cm="1">
        <f t="array" ref="AC20">MAX(_xlfn._xlws.FILTER('Raw Cost Data'!$BB$2:$BB$37,'Raw Cost Data'!$AF$2:$AF$37="Substantial"))</f>
        <v>257571.42857142858</v>
      </c>
      <c r="AD20" s="739" cm="1">
        <f t="array" ref="AD20">MAX(_xlfn._xlws.FILTER('Raw Cost Data'!$BC$2:$BC$37,'Raw Cost Data'!$AF$2:$AF$37="Substantial"))</f>
        <v>489864.12375000003</v>
      </c>
      <c r="AE20" s="740" cm="1">
        <f t="array" ref="AE20">MAX(_xlfn._xlws.FILTER('Raw Cost Data'!$BD$2:$BD$37,'Raw Cost Data'!$AF$2:$AF$37="Substantial"))</f>
        <v>10356</v>
      </c>
    </row>
    <row r="21" spans="1:31">
      <c r="C21" s="741"/>
      <c r="D21" s="741"/>
      <c r="E21" s="741"/>
      <c r="F21" s="741"/>
      <c r="H21" s="741"/>
    </row>
    <row r="22" spans="1:31">
      <c r="A22" s="721" t="s">
        <v>683</v>
      </c>
    </row>
    <row r="23" spans="1:31" ht="18.600000000000001" customHeight="1">
      <c r="B23" s="957" t="s">
        <v>684</v>
      </c>
      <c r="C23" s="958"/>
      <c r="D23" s="958"/>
      <c r="E23" s="958"/>
      <c r="F23" s="958"/>
      <c r="G23" s="958"/>
      <c r="H23" s="958"/>
      <c r="I23" s="959"/>
    </row>
    <row r="24" spans="1:31" ht="36.6" customHeight="1">
      <c r="B24" s="742" t="s">
        <v>564</v>
      </c>
      <c r="C24" s="743" t="s">
        <v>565</v>
      </c>
      <c r="D24" s="743" t="s">
        <v>566</v>
      </c>
      <c r="E24" s="743" t="s">
        <v>567</v>
      </c>
      <c r="F24" s="743" t="s">
        <v>568</v>
      </c>
      <c r="G24" s="743" t="s">
        <v>569</v>
      </c>
      <c r="H24" s="743" t="s">
        <v>570</v>
      </c>
      <c r="I24" s="744" t="s">
        <v>257</v>
      </c>
      <c r="K24" s="720"/>
      <c r="L24" s="952" t="s">
        <v>587</v>
      </c>
      <c r="M24" s="953"/>
      <c r="N24" s="720"/>
      <c r="O24" s="720"/>
    </row>
    <row r="25" spans="1:31">
      <c r="B25" s="745">
        <f>IF(ISBLANK('Raw Cost Data'!U2),"",'Raw Cost Data'!U2/'Raw Cost Data'!$AC$2)</f>
        <v>0.1196246326508995</v>
      </c>
      <c r="C25" s="746">
        <f>IF(ISBLANK('Raw Cost Data'!V2),"",'Raw Cost Data'!V2/'Raw Cost Data'!AC2)</f>
        <v>3.3009072568229013E-2</v>
      </c>
      <c r="D25" s="746">
        <f>IF(ISBLANK('Raw Cost Data'!W2),"",'Raw Cost Data'!W2/'Raw Cost Data'!AC2)</f>
        <v>0.39031380789212439</v>
      </c>
      <c r="E25" s="746">
        <f>IF(ISBLANK('Raw Cost Data'!X2),"",'Raw Cost Data'!X2/'Raw Cost Data'!AC2)</f>
        <v>0.24783901426041202</v>
      </c>
      <c r="F25" s="746" t="str">
        <f>IF(ISBLANK('Raw Cost Data'!Y2),"",'Raw Cost Data'!Y2/'Raw Cost Data'!AC2)</f>
        <v/>
      </c>
      <c r="G25" s="746">
        <f>IF(ISBLANK('Raw Cost Data'!Z2),"",'Raw Cost Data'!Z2/'Raw Cost Data'!AC2)</f>
        <v>0.20921347262833509</v>
      </c>
      <c r="H25" s="746" t="str">
        <f>IF(ISBLANK('Raw Cost Data'!AA2),"",'Raw Cost Data'!AA2/'Raw Cost Data'!AC2)</f>
        <v/>
      </c>
      <c r="I25" s="747" t="str">
        <f>IF(ISBLANK('Raw Cost Data'!AB2),"",'Raw Cost Data'!AB2/'Raw Cost Data'!AC2)</f>
        <v/>
      </c>
      <c r="J25" s="748"/>
      <c r="L25" s="919" t="s">
        <v>574</v>
      </c>
      <c r="M25" s="920" t="s">
        <v>685</v>
      </c>
    </row>
    <row r="26" spans="1:31">
      <c r="B26" s="749">
        <f>IF(ISBLANK('Raw Cost Data'!U3),"",'Raw Cost Data'!U3/'Raw Cost Data'!AC3)</f>
        <v>0.16398817350122094</v>
      </c>
      <c r="C26" s="750">
        <f>IF(ISBLANK('Raw Cost Data'!V3),"",'Raw Cost Data'!V3/'Raw Cost Data'!AC3)</f>
        <v>0.13144483048492778</v>
      </c>
      <c r="D26" s="750">
        <f>IF(ISBLANK('Raw Cost Data'!W3),"",'Raw Cost Data'!W3/'Raw Cost Data'!AC3)</f>
        <v>8.8585217769822477E-2</v>
      </c>
      <c r="E26" s="750">
        <f>IF(ISBLANK('Raw Cost Data'!X3),"",'Raw Cost Data'!X3/'Raw Cost Data'!AC3)</f>
        <v>0.30001542797175024</v>
      </c>
      <c r="F26" s="750" t="str">
        <f>IF(ISBLANK('Raw Cost Data'!Y3),"",'Raw Cost Data'!Y3/'Raw Cost Data'!AC3)</f>
        <v/>
      </c>
      <c r="G26" s="750">
        <f>IF(ISBLANK('Raw Cost Data'!Z3),"",'Raw Cost Data'!Z3/'Raw Cost Data'!AC3)</f>
        <v>0.3159663502722786</v>
      </c>
      <c r="H26" s="750" t="str">
        <f>IF(ISBLANK('Raw Cost Data'!AA3),"",'Raw Cost Data'!AA3/'Raw Cost Data'!AC3)</f>
        <v/>
      </c>
      <c r="I26" s="751" t="str">
        <f>IF(ISBLANK('Raw Cost Data'!AB3),"",'Raw Cost Data'!AB3/'Raw Cost Data'!AC3)</f>
        <v/>
      </c>
      <c r="J26" s="748"/>
      <c r="L26" s="719" t="s">
        <v>609</v>
      </c>
      <c r="M26" s="917" cm="1">
        <f t="array" ref="M26">AVERAGE(_xlfn._xlws.FILTER('Raw Cost Data'!$AY$2:$AY$37,'Raw Cost Data'!$AF$2:$AF$37="Light"))</f>
        <v>1.4650144064613031</v>
      </c>
      <c r="N26" s="916"/>
    </row>
    <row r="27" spans="1:31">
      <c r="B27" s="749">
        <f>IF(ISBLANK('Raw Cost Data'!U4),"",'Raw Cost Data'!U4/'Raw Cost Data'!AC4)</f>
        <v>7.4074164177514085E-2</v>
      </c>
      <c r="C27" s="750">
        <f>IF(ISBLANK('Raw Cost Data'!V4),"",'Raw Cost Data'!V4/'Raw Cost Data'!AC4)</f>
        <v>6.203621844728454E-2</v>
      </c>
      <c r="D27" s="750">
        <f>IF(ISBLANK('Raw Cost Data'!W4),"",'Raw Cost Data'!W4/'Raw Cost Data'!AC4)</f>
        <v>0.2430569307593087</v>
      </c>
      <c r="E27" s="750">
        <f>IF(ISBLANK('Raw Cost Data'!X4),"",'Raw Cost Data'!X4/'Raw Cost Data'!AC4)</f>
        <v>2.9521941602266583E-2</v>
      </c>
      <c r="F27" s="750">
        <f>IF(ISBLANK('Raw Cost Data'!Y4),"",'Raw Cost Data'!Y4/'Raw Cost Data'!AC4)</f>
        <v>5.0930518948780465E-2</v>
      </c>
      <c r="G27" s="750">
        <f>IF(ISBLANK('Raw Cost Data'!Z4),"",'Raw Cost Data'!Z4/'Raw Cost Data'!AC4)</f>
        <v>3.6005334628227893E-2</v>
      </c>
      <c r="H27" s="750">
        <f>IF(ISBLANK('Raw Cost Data'!AA4),"",'Raw Cost Data'!AA4/'Raw Cost Data'!AC4)</f>
        <v>8.4175120216460175E-2</v>
      </c>
      <c r="I27" s="751">
        <f>IF(ISBLANK('Raw Cost Data'!AB4),"",'Raw Cost Data'!AB4/'Raw Cost Data'!AC4)</f>
        <v>0.42019977122015756</v>
      </c>
      <c r="J27" s="748"/>
      <c r="L27" s="719" t="s">
        <v>618</v>
      </c>
      <c r="M27" s="917" cm="1">
        <f t="array" ref="M27">AVERAGE(_xlfn._xlws.FILTER('Raw Cost Data'!$AY$2:$AY$37,'Raw Cost Data'!$AF$2:$AF$37="Moderate"))</f>
        <v>1.6280446487479452</v>
      </c>
      <c r="N27" s="916"/>
    </row>
    <row r="28" spans="1:31">
      <c r="B28" s="749">
        <f>IF(ISBLANK('Raw Cost Data'!U5),"",'Raw Cost Data'!U5/'Raw Cost Data'!AC5)</f>
        <v>6.8222134639763704E-2</v>
      </c>
      <c r="C28" s="750">
        <f>IF(ISBLANK('Raw Cost Data'!V5),"",'Raw Cost Data'!V5/'Raw Cost Data'!AC5)</f>
        <v>3.561381549092274E-2</v>
      </c>
      <c r="D28" s="750">
        <f>IF(ISBLANK('Raw Cost Data'!W5),"",'Raw Cost Data'!W5/'Raw Cost Data'!AC5)</f>
        <v>0.25012434253993304</v>
      </c>
      <c r="E28" s="750">
        <f>IF(ISBLANK('Raw Cost Data'!X5),"",'Raw Cost Data'!X5/'Raw Cost Data'!AC5)</f>
        <v>2.2235408280419589E-2</v>
      </c>
      <c r="F28" s="750">
        <f>IF(ISBLANK('Raw Cost Data'!Y5),"",'Raw Cost Data'!Y5/'Raw Cost Data'!AC5)</f>
        <v>6.7356564080658224E-2</v>
      </c>
      <c r="G28" s="750">
        <f>IF(ISBLANK('Raw Cost Data'!Z5),"",'Raw Cost Data'!Z5/'Raw Cost Data'!AC5)</f>
        <v>1.3006784787989174E-2</v>
      </c>
      <c r="H28" s="750">
        <f>IF(ISBLANK('Raw Cost Data'!AA5),"",'Raw Cost Data'!AA5/'Raw Cost Data'!AC5)</f>
        <v>8.5277281193014504E-2</v>
      </c>
      <c r="I28" s="751" t="str">
        <f>IF(ISBLANK('Raw Cost Data'!AB5),"",'Raw Cost Data'!AB5/'Raw Cost Data'!AC5)</f>
        <v/>
      </c>
      <c r="J28" s="748"/>
      <c r="L28" s="735" t="s">
        <v>603</v>
      </c>
      <c r="M28" s="918" cm="1">
        <f t="array" ref="M28">AVERAGE(_xlfn._xlws.FILTER('Raw Cost Data'!$AY$2:$AY$37,'Raw Cost Data'!$AF$2:$AF$37="Substantial"))</f>
        <v>2.7560156939073353</v>
      </c>
      <c r="N28"/>
    </row>
    <row r="29" spans="1:31">
      <c r="B29" s="749" t="str">
        <f>IF(ISBLANK('Raw Cost Data'!U6),"",'Raw Cost Data'!U6/'Raw Cost Data'!AC6)</f>
        <v/>
      </c>
      <c r="C29" s="750" t="str">
        <f>IF(ISBLANK('Raw Cost Data'!V6),"",'Raw Cost Data'!V6/'Raw Cost Data'!AC6)</f>
        <v/>
      </c>
      <c r="D29" s="750" t="str">
        <f>IF(ISBLANK('Raw Cost Data'!W6),"",'Raw Cost Data'!W6/'Raw Cost Data'!AC6)</f>
        <v/>
      </c>
      <c r="E29" s="750" t="str">
        <f>IF(ISBLANK('Raw Cost Data'!X6),"",'Raw Cost Data'!X6/'Raw Cost Data'!AC6)</f>
        <v/>
      </c>
      <c r="F29" s="750" t="str">
        <f>IF(ISBLANK('Raw Cost Data'!Y6),"",'Raw Cost Data'!Y6/'Raw Cost Data'!AC6)</f>
        <v/>
      </c>
      <c r="G29" s="750" t="str">
        <f>IF(ISBLANK('Raw Cost Data'!Z6),"",'Raw Cost Data'!Z6/'Raw Cost Data'!AC6)</f>
        <v/>
      </c>
      <c r="H29" s="750" t="str">
        <f>IF(ISBLANK('Raw Cost Data'!AA6),"",'Raw Cost Data'!AA6/'Raw Cost Data'!AC6)</f>
        <v/>
      </c>
      <c r="I29" s="751" t="str">
        <f>IF(ISBLANK('Raw Cost Data'!AB6),"",'Raw Cost Data'!AB6/'Raw Cost Data'!AC6)</f>
        <v/>
      </c>
      <c r="J29" s="748"/>
      <c r="N29"/>
    </row>
    <row r="30" spans="1:31">
      <c r="B30" s="749">
        <f>IF(ISBLANK('Raw Cost Data'!U7),"",'Raw Cost Data'!U7/'Raw Cost Data'!AC7)</f>
        <v>0.22747725509556385</v>
      </c>
      <c r="C30" s="750" t="str">
        <f>IF(ISBLANK('Raw Cost Data'!V7),"",'Raw Cost Data'!V7/'Raw Cost Data'!AC7)</f>
        <v/>
      </c>
      <c r="D30" s="750" t="str">
        <f>IF(ISBLANK('Raw Cost Data'!W7),"",'Raw Cost Data'!W7/'Raw Cost Data'!AC7)</f>
        <v/>
      </c>
      <c r="E30" s="750" t="str">
        <f>IF(ISBLANK('Raw Cost Data'!X7),"",'Raw Cost Data'!X7/'Raw Cost Data'!AC7)</f>
        <v/>
      </c>
      <c r="F30" s="750">
        <f>IF(ISBLANK('Raw Cost Data'!Y7),"",'Raw Cost Data'!Y7/'Raw Cost Data'!AC7)</f>
        <v>4.0538825022921221E-2</v>
      </c>
      <c r="G30" s="750">
        <f>IF(ISBLANK('Raw Cost Data'!Z7),"",'Raw Cost Data'!Z7/'Raw Cost Data'!AC7)</f>
        <v>2.4652655335355104E-2</v>
      </c>
      <c r="H30" s="750" t="str">
        <f>IF(ISBLANK('Raw Cost Data'!AA7),"",'Raw Cost Data'!AA7/'Raw Cost Data'!AC7)</f>
        <v/>
      </c>
      <c r="I30" s="751">
        <f>IF(ISBLANK('Raw Cost Data'!AB7),"",'Raw Cost Data'!AB7/'Raw Cost Data'!AC7)</f>
        <v>0.7073312645461598</v>
      </c>
      <c r="J30" s="748"/>
      <c r="N30"/>
    </row>
    <row r="31" spans="1:31">
      <c r="B31" s="749" t="str">
        <f>IF(ISBLANK('Raw Cost Data'!U8),"",'Raw Cost Data'!U8/'Raw Cost Data'!AC8)</f>
        <v/>
      </c>
      <c r="C31" s="750" t="str">
        <f>IF(ISBLANK('Raw Cost Data'!V8),"",'Raw Cost Data'!V8/'Raw Cost Data'!AC8)</f>
        <v/>
      </c>
      <c r="D31" s="750" t="str">
        <f>IF(ISBLANK('Raw Cost Data'!W8),"",'Raw Cost Data'!W8/'Raw Cost Data'!AC8)</f>
        <v/>
      </c>
      <c r="E31" s="750" t="str">
        <f>IF(ISBLANK('Raw Cost Data'!X8),"",'Raw Cost Data'!X8/'Raw Cost Data'!AC8)</f>
        <v/>
      </c>
      <c r="F31" s="750" t="str">
        <f>IF(ISBLANK('Raw Cost Data'!Y8),"",'Raw Cost Data'!Y8/'Raw Cost Data'!AC8)</f>
        <v/>
      </c>
      <c r="G31" s="750" t="str">
        <f>IF(ISBLANK('Raw Cost Data'!Z8),"",'Raw Cost Data'!Z8/'Raw Cost Data'!AC8)</f>
        <v/>
      </c>
      <c r="H31" s="750">
        <f>IF(ISBLANK('Raw Cost Data'!AA8),"",'Raw Cost Data'!AA8/'Raw Cost Data'!AC8)</f>
        <v>0.12983607933081415</v>
      </c>
      <c r="I31" s="751">
        <f>IF(ISBLANK('Raw Cost Data'!AB8),"",'Raw Cost Data'!AB8/'Raw Cost Data'!AC8)</f>
        <v>4.5898768231382543E-3</v>
      </c>
      <c r="J31" s="748"/>
    </row>
    <row r="32" spans="1:31">
      <c r="B32" s="749">
        <f>IF(ISBLANK('Raw Cost Data'!U9),"",'Raw Cost Data'!U9/'Raw Cost Data'!AC9)</f>
        <v>0.13306523252861852</v>
      </c>
      <c r="C32" s="750" t="str">
        <f>IF(ISBLANK('Raw Cost Data'!V9),"",'Raw Cost Data'!V9/'Raw Cost Data'!AC9)</f>
        <v/>
      </c>
      <c r="D32" s="750" t="str">
        <f>IF(ISBLANK('Raw Cost Data'!W9),"",'Raw Cost Data'!W9/'Raw Cost Data'!AC9)</f>
        <v/>
      </c>
      <c r="E32" s="750" t="str">
        <f>IF(ISBLANK('Raw Cost Data'!X9),"",'Raw Cost Data'!X9/'Raw Cost Data'!AC9)</f>
        <v/>
      </c>
      <c r="F32" s="750">
        <f>IF(ISBLANK('Raw Cost Data'!Y9),"",'Raw Cost Data'!Y9/'Raw Cost Data'!AC9)</f>
        <v>3.6646931926777399E-2</v>
      </c>
      <c r="G32" s="750" t="str">
        <f>IF(ISBLANK('Raw Cost Data'!Z9),"",'Raw Cost Data'!Z9/'Raw Cost Data'!AC9)</f>
        <v/>
      </c>
      <c r="H32" s="750">
        <f>IF(ISBLANK('Raw Cost Data'!AA9),"",'Raw Cost Data'!AA9/'Raw Cost Data'!AC9)</f>
        <v>9.0909135899492885E-2</v>
      </c>
      <c r="I32" s="751" t="str">
        <f>IF(ISBLANK('Raw Cost Data'!AB9),"",'Raw Cost Data'!AB9/'Raw Cost Data'!AC9)</f>
        <v/>
      </c>
      <c r="J32" s="748"/>
    </row>
    <row r="33" spans="2:10">
      <c r="B33" s="749">
        <f>IF(ISBLANK('Raw Cost Data'!U10),"",'Raw Cost Data'!U10/'Raw Cost Data'!AC10)</f>
        <v>0.16187116614479993</v>
      </c>
      <c r="C33" s="750">
        <f>IF(ISBLANK('Raw Cost Data'!V10),"",'Raw Cost Data'!V10/'Raw Cost Data'!AC10)</f>
        <v>1.1191185076554701E-2</v>
      </c>
      <c r="D33" s="750">
        <f>IF(ISBLANK('Raw Cost Data'!W10),"",'Raw Cost Data'!W10/'Raw Cost Data'!AC10)</f>
        <v>0.16705175223648838</v>
      </c>
      <c r="E33" s="750" t="str">
        <f>IF(ISBLANK('Raw Cost Data'!X10),"",'Raw Cost Data'!X10/'Raw Cost Data'!AC10)</f>
        <v/>
      </c>
      <c r="F33" s="750">
        <f>IF(ISBLANK('Raw Cost Data'!Y10),"",'Raw Cost Data'!Y10/'Raw Cost Data'!AC10)</f>
        <v>4.6629937818977917E-2</v>
      </c>
      <c r="G33" s="750">
        <f>IF(ISBLANK('Raw Cost Data'!Z10),"",'Raw Cost Data'!Z10/'Raw Cost Data'!AC10)</f>
        <v>1.2123783832934259E-2</v>
      </c>
      <c r="H33" s="750">
        <f>IF(ISBLANK('Raw Cost Data'!AA10),"",'Raw Cost Data'!AA10/'Raw Cost Data'!AC10)</f>
        <v>0.12356467222650959</v>
      </c>
      <c r="I33" s="751">
        <f>IF(ISBLANK('Raw Cost Data'!AB10),"",'Raw Cost Data'!AB10/'Raw Cost Data'!AC10)</f>
        <v>0.47756750266373521</v>
      </c>
      <c r="J33" s="748"/>
    </row>
    <row r="34" spans="2:10">
      <c r="B34" s="749">
        <f>IF(ISBLANK('Raw Cost Data'!U11),"",'Raw Cost Data'!U11/'Raw Cost Data'!AC11)</f>
        <v>0.13945942866667266</v>
      </c>
      <c r="C34" s="750" t="str">
        <f>IF(ISBLANK('Raw Cost Data'!V11),"",'Raw Cost Data'!V11/'Raw Cost Data'!AC11)</f>
        <v/>
      </c>
      <c r="D34" s="750">
        <f>IF(ISBLANK('Raw Cost Data'!W11),"",'Raw Cost Data'!W11/'Raw Cost Data'!AC11)</f>
        <v>0.5479672854991785</v>
      </c>
      <c r="E34" s="750" t="str">
        <f>IF(ISBLANK('Raw Cost Data'!X11),"",'Raw Cost Data'!X11/'Raw Cost Data'!AC11)</f>
        <v/>
      </c>
      <c r="F34" s="750">
        <f>IF(ISBLANK('Raw Cost Data'!Y11),"",'Raw Cost Data'!Y11/'Raw Cost Data'!AC11)</f>
        <v>2.188232419040188E-2</v>
      </c>
      <c r="G34" s="750" t="str">
        <f>IF(ISBLANK('Raw Cost Data'!Z11),"",'Raw Cost Data'!Z11/'Raw Cost Data'!AC11)</f>
        <v/>
      </c>
      <c r="H34" s="750">
        <f>IF(ISBLANK('Raw Cost Data'!AA11),"",'Raw Cost Data'!AA11/'Raw Cost Data'!AC11)</f>
        <v>0.11454856822754048</v>
      </c>
      <c r="I34" s="751">
        <f>IF(ISBLANK('Raw Cost Data'!AB11),"",'Raw Cost Data'!AB11/'Raw Cost Data'!AC11)</f>
        <v>0.17614239341620649</v>
      </c>
      <c r="J34" s="748"/>
    </row>
    <row r="35" spans="2:10">
      <c r="B35" s="749" t="str">
        <f>IF(ISBLANK('Raw Cost Data'!U12),"",'Raw Cost Data'!U12/'Raw Cost Data'!AC12)</f>
        <v/>
      </c>
      <c r="C35" s="750" t="str">
        <f>IF(ISBLANK('Raw Cost Data'!V12),"",'Raw Cost Data'!V12/'Raw Cost Data'!AC12)</f>
        <v/>
      </c>
      <c r="D35" s="750" t="str">
        <f>IF(ISBLANK('Raw Cost Data'!W12),"",'Raw Cost Data'!W12/'Raw Cost Data'!AC12)</f>
        <v/>
      </c>
      <c r="E35" s="750" t="str">
        <f>IF(ISBLANK('Raw Cost Data'!X12),"",'Raw Cost Data'!X12/'Raw Cost Data'!AC12)</f>
        <v/>
      </c>
      <c r="F35" s="750" t="str">
        <f>IF(ISBLANK('Raw Cost Data'!Y12),"",'Raw Cost Data'!Y12/'Raw Cost Data'!AC12)</f>
        <v/>
      </c>
      <c r="G35" s="750" t="str">
        <f>IF(ISBLANK('Raw Cost Data'!Z12),"",'Raw Cost Data'!Z12/'Raw Cost Data'!AC12)</f>
        <v/>
      </c>
      <c r="H35" s="750" t="str">
        <f>IF(ISBLANK('Raw Cost Data'!AA12),"",'Raw Cost Data'!AA12/'Raw Cost Data'!AC12)</f>
        <v/>
      </c>
      <c r="I35" s="751" t="str">
        <f>IF(ISBLANK('Raw Cost Data'!AB12),"",'Raw Cost Data'!AB12/'Raw Cost Data'!AC12)</f>
        <v/>
      </c>
      <c r="J35" s="748"/>
    </row>
    <row r="36" spans="2:10">
      <c r="B36" s="749" t="str">
        <f>IF(ISBLANK('Raw Cost Data'!U13),"",'Raw Cost Data'!U13/'Raw Cost Data'!AC13)</f>
        <v/>
      </c>
      <c r="C36" s="750" t="str">
        <f>IF(ISBLANK('Raw Cost Data'!V13),"",'Raw Cost Data'!V13/'Raw Cost Data'!AC13)</f>
        <v/>
      </c>
      <c r="D36" s="750" t="str">
        <f>IF(ISBLANK('Raw Cost Data'!W13),"",'Raw Cost Data'!W13/'Raw Cost Data'!AC13)</f>
        <v/>
      </c>
      <c r="E36" s="750" t="str">
        <f>IF(ISBLANK('Raw Cost Data'!X13),"",'Raw Cost Data'!X13/'Raw Cost Data'!AC13)</f>
        <v/>
      </c>
      <c r="F36" s="750" t="str">
        <f>IF(ISBLANK('Raw Cost Data'!Y13),"",'Raw Cost Data'!Y13/'Raw Cost Data'!AC13)</f>
        <v/>
      </c>
      <c r="G36" s="750" t="str">
        <f>IF(ISBLANK('Raw Cost Data'!Z13),"",'Raw Cost Data'!Z13/'Raw Cost Data'!AC13)</f>
        <v/>
      </c>
      <c r="H36" s="750" t="str">
        <f>IF(ISBLANK('Raw Cost Data'!AA13),"",'Raw Cost Data'!AA13/'Raw Cost Data'!AC13)</f>
        <v/>
      </c>
      <c r="I36" s="751" t="str">
        <f>IF(ISBLANK('Raw Cost Data'!AB13),"",'Raw Cost Data'!AB13/'Raw Cost Data'!AC13)</f>
        <v/>
      </c>
      <c r="J36" s="748"/>
    </row>
    <row r="37" spans="2:10">
      <c r="B37" s="749" t="str">
        <f>IF(ISBLANK('Raw Cost Data'!U14),"",'Raw Cost Data'!U14/'Raw Cost Data'!AC14)</f>
        <v/>
      </c>
      <c r="C37" s="750" t="str">
        <f>IF(ISBLANK('Raw Cost Data'!V14),"",'Raw Cost Data'!V14/'Raw Cost Data'!AC14)</f>
        <v/>
      </c>
      <c r="D37" s="750" t="str">
        <f>IF(ISBLANK('Raw Cost Data'!W14),"",'Raw Cost Data'!W14/'Raw Cost Data'!AC14)</f>
        <v/>
      </c>
      <c r="E37" s="750" t="str">
        <f>IF(ISBLANK('Raw Cost Data'!X14),"",'Raw Cost Data'!X14/'Raw Cost Data'!AC14)</f>
        <v/>
      </c>
      <c r="F37" s="750" t="str">
        <f>IF(ISBLANK('Raw Cost Data'!Y14),"",'Raw Cost Data'!Y14/'Raw Cost Data'!AC14)</f>
        <v/>
      </c>
      <c r="G37" s="750" t="str">
        <f>IF(ISBLANK('Raw Cost Data'!Z14),"",'Raw Cost Data'!Z14/'Raw Cost Data'!AC14)</f>
        <v/>
      </c>
      <c r="H37" s="750" t="str">
        <f>IF(ISBLANK('Raw Cost Data'!AA14),"",'Raw Cost Data'!AA14/'Raw Cost Data'!AC14)</f>
        <v/>
      </c>
      <c r="I37" s="751" t="str">
        <f>IF(ISBLANK('Raw Cost Data'!AB14),"",'Raw Cost Data'!AB14/'Raw Cost Data'!AC14)</f>
        <v/>
      </c>
      <c r="J37" s="748"/>
    </row>
    <row r="38" spans="2:10">
      <c r="B38" s="749" t="str">
        <f>IF(ISBLANK('Raw Cost Data'!U15),"",'Raw Cost Data'!U15/'Raw Cost Data'!AC15)</f>
        <v/>
      </c>
      <c r="C38" s="750">
        <f>IF(ISBLANK('Raw Cost Data'!V15),"",'Raw Cost Data'!V15/'Raw Cost Data'!AC15)</f>
        <v>2.6912105064858173E-2</v>
      </c>
      <c r="D38" s="750">
        <f>IF(ISBLANK('Raw Cost Data'!W15),"",'Raw Cost Data'!W15/'Raw Cost Data'!AC15)</f>
        <v>7.535389418160289E-2</v>
      </c>
      <c r="E38" s="750">
        <f>IF(ISBLANK('Raw Cost Data'!X15),"",'Raw Cost Data'!X15/'Raw Cost Data'!AC15)</f>
        <v>2.0632613883057933E-2</v>
      </c>
      <c r="F38" s="750">
        <f>IF(ISBLANK('Raw Cost Data'!Y15),"",'Raw Cost Data'!Y15/'Raw Cost Data'!AC15)</f>
        <v>1.7941403376572115E-2</v>
      </c>
      <c r="G38" s="750">
        <f>IF(ISBLANK('Raw Cost Data'!Z15),"",'Raw Cost Data'!Z15/'Raw Cost Data'!AC15)</f>
        <v>8.0736315194574523E-3</v>
      </c>
      <c r="H38" s="750">
        <f>IF(ISBLANK('Raw Cost Data'!AA15),"",'Raw Cost Data'!AA15/'Raw Cost Data'!AC15)</f>
        <v>0.17433661661015123</v>
      </c>
      <c r="I38" s="751">
        <f>IF(ISBLANK('Raw Cost Data'!AB15),"",'Raw Cost Data'!AB15/'Raw Cost Data'!AC15)</f>
        <v>0.67674973536430016</v>
      </c>
      <c r="J38" s="748"/>
    </row>
    <row r="39" spans="2:10">
      <c r="B39" s="749" t="str">
        <f>IF(ISBLANK('Raw Cost Data'!U16),"",'Raw Cost Data'!U16/'Raw Cost Data'!AC16)</f>
        <v/>
      </c>
      <c r="C39" s="750">
        <f>IF(ISBLANK('Raw Cost Data'!V16),"",'Raw Cost Data'!V16/'Raw Cost Data'!AC16)</f>
        <v>5.6286854488057656E-3</v>
      </c>
      <c r="D39" s="750">
        <f>IF(ISBLANK('Raw Cost Data'!W16),"",'Raw Cost Data'!W16/'Raw Cost Data'!AC16)</f>
        <v>0.66740127464411225</v>
      </c>
      <c r="E39" s="750">
        <f>IF(ISBLANK('Raw Cost Data'!X16),"",'Raw Cost Data'!X16/'Raw Cost Data'!AC16)</f>
        <v>1.4592888200607541E-2</v>
      </c>
      <c r="F39" s="750">
        <f>IF(ISBLANK('Raw Cost Data'!Y16),"",'Raw Cost Data'!Y16/'Raw Cost Data'!AC16)</f>
        <v>3.2521293704211092E-2</v>
      </c>
      <c r="G39" s="750" t="str">
        <f>IF(ISBLANK('Raw Cost Data'!Z16),"",'Raw Cost Data'!Z16/'Raw Cost Data'!AC16)</f>
        <v/>
      </c>
      <c r="H39" s="750">
        <f>IF(ISBLANK('Raw Cost Data'!AA16),"",'Raw Cost Data'!AA16/'Raw Cost Data'!AC16)</f>
        <v>0.12965036631127524</v>
      </c>
      <c r="I39" s="751">
        <f>IF(ISBLANK('Raw Cost Data'!AB16),"",'Raw Cost Data'!AB16/'Raw Cost Data'!AC16)</f>
        <v>0.15020549169098815</v>
      </c>
      <c r="J39" s="748"/>
    </row>
    <row r="40" spans="2:10">
      <c r="B40" s="749">
        <f>IF(ISBLANK('Raw Cost Data'!U17),"",'Raw Cost Data'!U17/'Raw Cost Data'!AC17)</f>
        <v>7.9162983388967323E-2</v>
      </c>
      <c r="C40" s="750">
        <f>IF(ISBLANK('Raw Cost Data'!V17),"",'Raw Cost Data'!V17/'Raw Cost Data'!AC17)</f>
        <v>0.11870753235786946</v>
      </c>
      <c r="D40" s="750">
        <f>IF(ISBLANK('Raw Cost Data'!W17),"",'Raw Cost Data'!W17/'Raw Cost Data'!AC17)</f>
        <v>0.47533413375905426</v>
      </c>
      <c r="E40" s="750" t="str">
        <f>IF(ISBLANK('Raw Cost Data'!X17),"",'Raw Cost Data'!X17/'Raw Cost Data'!AC17)</f>
        <v/>
      </c>
      <c r="F40" s="750" t="str">
        <f>IF(ISBLANK('Raw Cost Data'!Y17),"",'Raw Cost Data'!Y17/'Raw Cost Data'!AC17)</f>
        <v/>
      </c>
      <c r="G40" s="750">
        <f>IF(ISBLANK('Raw Cost Data'!Z17),"",'Raw Cost Data'!Z17/'Raw Cost Data'!AC17)</f>
        <v>0</v>
      </c>
      <c r="H40" s="750">
        <f>IF(ISBLANK('Raw Cost Data'!AA17),"",'Raw Cost Data'!AA17/'Raw Cost Data'!AC17)</f>
        <v>8.4894383386328556E-2</v>
      </c>
      <c r="I40" s="751">
        <f>IF(ISBLANK('Raw Cost Data'!AB17),"",'Raw Cost Data'!AB17/'Raw Cost Data'!AC17)</f>
        <v>0.24190096710778039</v>
      </c>
      <c r="J40" s="748"/>
    </row>
    <row r="41" spans="2:10">
      <c r="B41" s="749" t="str">
        <f>IF(ISBLANK('Raw Cost Data'!U18),"",'Raw Cost Data'!U18/'Raw Cost Data'!AC18)</f>
        <v/>
      </c>
      <c r="C41" s="750" t="str">
        <f>IF(ISBLANK('Raw Cost Data'!V18),"",'Raw Cost Data'!V18/'Raw Cost Data'!AC18)</f>
        <v/>
      </c>
      <c r="D41" s="750" t="str">
        <f>IF(ISBLANK('Raw Cost Data'!W18),"",'Raw Cost Data'!W18/'Raw Cost Data'!AC18)</f>
        <v/>
      </c>
      <c r="E41" s="750" t="str">
        <f>IF(ISBLANK('Raw Cost Data'!X18),"",'Raw Cost Data'!X18/'Raw Cost Data'!AC18)</f>
        <v/>
      </c>
      <c r="F41" s="750" t="str">
        <f>IF(ISBLANK('Raw Cost Data'!Y18),"",'Raw Cost Data'!Y18/'Raw Cost Data'!AC18)</f>
        <v/>
      </c>
      <c r="G41" s="750" t="str">
        <f>IF(ISBLANK('Raw Cost Data'!Z18),"",'Raw Cost Data'!Z18/'Raw Cost Data'!AC18)</f>
        <v/>
      </c>
      <c r="H41" s="750" t="str">
        <f>IF(ISBLANK('Raw Cost Data'!AA18),"",'Raw Cost Data'!AA18/'Raw Cost Data'!AC18)</f>
        <v/>
      </c>
      <c r="I41" s="751" t="str">
        <f>IF(ISBLANK('Raw Cost Data'!AB18),"",'Raw Cost Data'!AB18/'Raw Cost Data'!AC18)</f>
        <v/>
      </c>
      <c r="J41" s="748"/>
    </row>
    <row r="42" spans="2:10">
      <c r="B42" s="749">
        <f>IF(ISBLANK('Raw Cost Data'!U19),"",'Raw Cost Data'!U19/'Raw Cost Data'!AC19)</f>
        <v>0.14527840326039909</v>
      </c>
      <c r="C42" s="750">
        <f>IF(ISBLANK('Raw Cost Data'!V19),"",'Raw Cost Data'!V19/'Raw Cost Data'!AC19)</f>
        <v>0.24440834747761636</v>
      </c>
      <c r="D42" s="750">
        <f>IF(ISBLANK('Raw Cost Data'!W19),"",'Raw Cost Data'!W19/'Raw Cost Data'!AC19)</f>
        <v>0.43463760644687505</v>
      </c>
      <c r="E42" s="750">
        <f>IF(ISBLANK('Raw Cost Data'!X19),"",'Raw Cost Data'!X19/'Raw Cost Data'!AC19)</f>
        <v>0.13074545640237525</v>
      </c>
      <c r="F42" s="750" t="str">
        <f>IF(ISBLANK('Raw Cost Data'!Y19),"",'Raw Cost Data'!Y19/'Raw Cost Data'!AC19)</f>
        <v/>
      </c>
      <c r="G42" s="750">
        <f>IF(ISBLANK('Raw Cost Data'!Z19),"",'Raw Cost Data'!Z19/'Raw Cost Data'!AC19)</f>
        <v>4.4930186412734233E-2</v>
      </c>
      <c r="H42" s="750" t="str">
        <f>IF(ISBLANK('Raw Cost Data'!AA19),"",'Raw Cost Data'!AA19/'Raw Cost Data'!AC19)</f>
        <v/>
      </c>
      <c r="I42" s="751" t="str">
        <f>IF(ISBLANK('Raw Cost Data'!AB19),"",'Raw Cost Data'!AB19/'Raw Cost Data'!AC19)</f>
        <v/>
      </c>
      <c r="J42" s="748"/>
    </row>
    <row r="43" spans="2:10">
      <c r="B43" s="749" t="str">
        <f>IF(ISBLANK('Raw Cost Data'!U20),"",'Raw Cost Data'!U20/'Raw Cost Data'!AC20)</f>
        <v/>
      </c>
      <c r="C43" s="750" t="str">
        <f>IF(ISBLANK('Raw Cost Data'!V20),"",'Raw Cost Data'!V20/'Raw Cost Data'!AC20)</f>
        <v/>
      </c>
      <c r="D43" s="750" t="str">
        <f>IF(ISBLANK('Raw Cost Data'!W20),"",'Raw Cost Data'!W20/'Raw Cost Data'!AC20)</f>
        <v/>
      </c>
      <c r="E43" s="750" t="str">
        <f>IF(ISBLANK('Raw Cost Data'!X20),"",'Raw Cost Data'!X20/'Raw Cost Data'!AC20)</f>
        <v/>
      </c>
      <c r="F43" s="750" t="str">
        <f>IF(ISBLANK('Raw Cost Data'!Y20),"",'Raw Cost Data'!Y20/'Raw Cost Data'!AC20)</f>
        <v/>
      </c>
      <c r="G43" s="750" t="str">
        <f>IF(ISBLANK('Raw Cost Data'!Z20),"",'Raw Cost Data'!Z20/'Raw Cost Data'!AC20)</f>
        <v/>
      </c>
      <c r="H43" s="750" t="str">
        <f>IF(ISBLANK('Raw Cost Data'!AA20),"",'Raw Cost Data'!AA20/'Raw Cost Data'!AC20)</f>
        <v/>
      </c>
      <c r="I43" s="751" t="str">
        <f>IF(ISBLANK('Raw Cost Data'!AB20),"",'Raw Cost Data'!AB20/'Raw Cost Data'!AC20)</f>
        <v/>
      </c>
      <c r="J43" s="748"/>
    </row>
    <row r="44" spans="2:10">
      <c r="B44" s="749">
        <f>IF(ISBLANK('Raw Cost Data'!U21),"",'Raw Cost Data'!U21/'Raw Cost Data'!AC21)</f>
        <v>0.2325839357173943</v>
      </c>
      <c r="C44" s="750">
        <f>IF(ISBLANK('Raw Cost Data'!V21),"",'Raw Cost Data'!V21/'Raw Cost Data'!AC21)</f>
        <v>9.1137789383179957E-2</v>
      </c>
      <c r="D44" s="750">
        <f>IF(ISBLANK('Raw Cost Data'!W21),"",'Raw Cost Data'!W21/'Raw Cost Data'!AC21)</f>
        <v>0.44265409886528889</v>
      </c>
      <c r="E44" s="750">
        <f>IF(ISBLANK('Raw Cost Data'!X21),"",'Raw Cost Data'!X21/'Raw Cost Data'!AC21)</f>
        <v>0.10386746489188931</v>
      </c>
      <c r="F44" s="750" t="str">
        <f>IF(ISBLANK('Raw Cost Data'!Y21),"",'Raw Cost Data'!Y21/'Raw Cost Data'!AC21)</f>
        <v/>
      </c>
      <c r="G44" s="750">
        <f>IF(ISBLANK('Raw Cost Data'!Z21),"",'Raw Cost Data'!Z21/'Raw Cost Data'!AC21)</f>
        <v>3.1745905380589967E-2</v>
      </c>
      <c r="H44" s="750">
        <f>IF(ISBLANK('Raw Cost Data'!AA21),"",'Raw Cost Data'!AA21/'Raw Cost Data'!AC21)</f>
        <v>9.8010805761657591E-2</v>
      </c>
      <c r="I44" s="751" t="str">
        <f>IF(ISBLANK('Raw Cost Data'!AB21),"",'Raw Cost Data'!AB21/'Raw Cost Data'!AC21)</f>
        <v/>
      </c>
      <c r="J44" s="748"/>
    </row>
    <row r="45" spans="2:10">
      <c r="B45" s="749" t="str">
        <f>IF(ISBLANK('Raw Cost Data'!U22),"",'Raw Cost Data'!U22/'Raw Cost Data'!AC22)</f>
        <v/>
      </c>
      <c r="C45" s="750" t="str">
        <f>IF(ISBLANK('Raw Cost Data'!V22),"",'Raw Cost Data'!V22/'Raw Cost Data'!AC22)</f>
        <v/>
      </c>
      <c r="D45" s="750" t="str">
        <f>IF(ISBLANK('Raw Cost Data'!W22),"",'Raw Cost Data'!W22/'Raw Cost Data'!AC22)</f>
        <v/>
      </c>
      <c r="E45" s="750" t="str">
        <f>IF(ISBLANK('Raw Cost Data'!X22),"",'Raw Cost Data'!X22/'Raw Cost Data'!AC22)</f>
        <v/>
      </c>
      <c r="F45" s="750" t="str">
        <f>IF(ISBLANK('Raw Cost Data'!Y22),"",'Raw Cost Data'!Y22/'Raw Cost Data'!AC22)</f>
        <v/>
      </c>
      <c r="G45" s="750" t="str">
        <f>IF(ISBLANK('Raw Cost Data'!Z22),"",'Raw Cost Data'!Z22/'Raw Cost Data'!AC22)</f>
        <v/>
      </c>
      <c r="H45" s="750" t="str">
        <f>IF(ISBLANK('Raw Cost Data'!AA22),"",'Raw Cost Data'!AA22/'Raw Cost Data'!AC22)</f>
        <v/>
      </c>
      <c r="I45" s="751" t="str">
        <f>IF(ISBLANK('Raw Cost Data'!AB22),"",'Raw Cost Data'!AB22/'Raw Cost Data'!AC22)</f>
        <v/>
      </c>
      <c r="J45" s="748"/>
    </row>
    <row r="46" spans="2:10">
      <c r="B46" s="749">
        <f>IF(ISBLANK('Raw Cost Data'!U23),"",'Raw Cost Data'!U23/'Raw Cost Data'!AC23)</f>
        <v>0.1119501307690795</v>
      </c>
      <c r="C46" s="750">
        <f>IF(ISBLANK('Raw Cost Data'!V23),"",'Raw Cost Data'!V23/'Raw Cost Data'!AC23)</f>
        <v>6.9317444398560552E-2</v>
      </c>
      <c r="D46" s="750">
        <f>IF(ISBLANK('Raw Cost Data'!W23),"",'Raw Cost Data'!W23/'Raw Cost Data'!AC23)</f>
        <v>0.54667374589503082</v>
      </c>
      <c r="E46" s="750">
        <f>IF(ISBLANK('Raw Cost Data'!X23),"",'Raw Cost Data'!X23/'Raw Cost Data'!AC23)</f>
        <v>9.8322616168171006E-2</v>
      </c>
      <c r="F46" s="750" t="str">
        <f>IF(ISBLANK('Raw Cost Data'!Y23),"",'Raw Cost Data'!Y23/'Raw Cost Data'!AC23)</f>
        <v/>
      </c>
      <c r="G46" s="750" t="str">
        <f>IF(ISBLANK('Raw Cost Data'!Z23),"",'Raw Cost Data'!Z23/'Raw Cost Data'!AC23)</f>
        <v/>
      </c>
      <c r="H46" s="750" t="str">
        <f>IF(ISBLANK('Raw Cost Data'!AA23),"",'Raw Cost Data'!AA23/'Raw Cost Data'!AC23)</f>
        <v/>
      </c>
      <c r="I46" s="751">
        <f>IF(ISBLANK('Raw Cost Data'!AB23),"",'Raw Cost Data'!AB23/'Raw Cost Data'!AC23)</f>
        <v>0.17373606276915815</v>
      </c>
      <c r="J46" s="748"/>
    </row>
    <row r="47" spans="2:10">
      <c r="B47" s="749">
        <f>IF(ISBLANK('Raw Cost Data'!U24),"",'Raw Cost Data'!U24/'Raw Cost Data'!AC24)</f>
        <v>0.28608233165003122</v>
      </c>
      <c r="C47" s="750">
        <f>IF(ISBLANK('Raw Cost Data'!V24),"",'Raw Cost Data'!V24/'Raw Cost Data'!AC24)</f>
        <v>7.1125441570449754E-2</v>
      </c>
      <c r="D47" s="750">
        <f>IF(ISBLANK('Raw Cost Data'!W24),"",'Raw Cost Data'!W24/'Raw Cost Data'!AC24)</f>
        <v>0.26948639528359292</v>
      </c>
      <c r="E47" s="750">
        <f>IF(ISBLANK('Raw Cost Data'!X24),"",'Raw Cost Data'!X24/'Raw Cost Data'!AC24)</f>
        <v>6.3222614729288668E-2</v>
      </c>
      <c r="F47" s="750" t="str">
        <f>IF(ISBLANK('Raw Cost Data'!Y24),"",'Raw Cost Data'!Y24/'Raw Cost Data'!AC24)</f>
        <v/>
      </c>
      <c r="G47" s="750">
        <f>IF(ISBLANK('Raw Cost Data'!Z24),"",'Raw Cost Data'!Z24/'Raw Cost Data'!AC24)</f>
        <v>9.0092225989236344E-2</v>
      </c>
      <c r="H47" s="750">
        <f>IF(ISBLANK('Raw Cost Data'!AA24),"",'Raw Cost Data'!AA24/'Raw Cost Data'!AC24)</f>
        <v>0.11063957577625516</v>
      </c>
      <c r="I47" s="751">
        <f>IF(ISBLANK('Raw Cost Data'!AB24),"",'Raw Cost Data'!AB24/'Raw Cost Data'!AC24)</f>
        <v>0.10935141500114591</v>
      </c>
      <c r="J47" s="748"/>
    </row>
    <row r="48" spans="2:10">
      <c r="B48" s="749">
        <f>IF(ISBLANK('Raw Cost Data'!U25),"",'Raw Cost Data'!U25/'Raw Cost Data'!AC25)</f>
        <v>0.12312811980033278</v>
      </c>
      <c r="C48" s="750">
        <f>IF(ISBLANK('Raw Cost Data'!V25),"",'Raw Cost Data'!V25/'Raw Cost Data'!AC25)</f>
        <v>0.14420410427066002</v>
      </c>
      <c r="D48" s="750">
        <f>IF(ISBLANK('Raw Cost Data'!W25),"",'Raw Cost Data'!W25/'Raw Cost Data'!AC25)</f>
        <v>0.43427620632279534</v>
      </c>
      <c r="E48" s="750">
        <f>IF(ISBLANK('Raw Cost Data'!X25),"",'Raw Cost Data'!X25/'Raw Cost Data'!AC25)</f>
        <v>0.13865779256794231</v>
      </c>
      <c r="F48" s="750" t="str">
        <f>IF(ISBLANK('Raw Cost Data'!Y25),"",'Raw Cost Data'!Y25/'Raw Cost Data'!AC25)</f>
        <v/>
      </c>
      <c r="G48" s="750">
        <f>IF(ISBLANK('Raw Cost Data'!Z25),"",'Raw Cost Data'!Z25/'Raw Cost Data'!AC25)</f>
        <v>4.9916805324459232E-2</v>
      </c>
      <c r="H48" s="750">
        <f>IF(ISBLANK('Raw Cost Data'!AA25),"",'Raw Cost Data'!AA25/'Raw Cost Data'!AC25)</f>
        <v>5.6572379367720464E-2</v>
      </c>
      <c r="I48" s="751">
        <f>IF(ISBLANK('Raw Cost Data'!AB25),"",'Raw Cost Data'!AB25/'Raw Cost Data'!AC25)</f>
        <v>5.3244592346089852E-2</v>
      </c>
      <c r="J48" s="748"/>
    </row>
    <row r="49" spans="1:10">
      <c r="B49" s="749" t="str">
        <f>IF(ISBLANK('Raw Cost Data'!U37),"",'Raw Cost Data'!U37/'Raw Cost Data'!AC37)</f>
        <v/>
      </c>
      <c r="C49" s="750" t="str">
        <f>IF(ISBLANK('Raw Cost Data'!V37),"",'Raw Cost Data'!V37/'Raw Cost Data'!AC37)</f>
        <v/>
      </c>
      <c r="D49" s="750" t="str">
        <f>IF(ISBLANK('Raw Cost Data'!W37),"",'Raw Cost Data'!W37/'Raw Cost Data'!AC37)</f>
        <v/>
      </c>
      <c r="E49" s="750" t="str">
        <f>IF(ISBLANK('Raw Cost Data'!X37),"",'Raw Cost Data'!X37/'Raw Cost Data'!AC37)</f>
        <v/>
      </c>
      <c r="F49" s="750" t="str">
        <f>IF(ISBLANK('Raw Cost Data'!Y37),"",'Raw Cost Data'!Y37/'Raw Cost Data'!AC37)</f>
        <v/>
      </c>
      <c r="G49" s="750" t="str">
        <f>IF(ISBLANK('Raw Cost Data'!Z37),"",'Raw Cost Data'!Z37/'Raw Cost Data'!AC37)</f>
        <v/>
      </c>
      <c r="H49" s="750" t="str">
        <f>IF(ISBLANK('Raw Cost Data'!AA37),"",'Raw Cost Data'!AA37/'Raw Cost Data'!AC37)</f>
        <v/>
      </c>
      <c r="I49" s="751" t="str">
        <f>IF(ISBLANK('Raw Cost Data'!AB37),"",'Raw Cost Data'!AB37/'Raw Cost Data'!AC37)</f>
        <v/>
      </c>
      <c r="J49" s="750"/>
    </row>
    <row r="50" spans="1:10">
      <c r="B50" s="752">
        <f>IF(ISBLANK('Raw Cost Data'!U27),"",'Raw Cost Data'!U27/'Raw Cost Data'!AC27)</f>
        <v>5.3054304672598286E-2</v>
      </c>
      <c r="C50" s="753" t="str">
        <f>IF(ISBLANK('Raw Cost Data'!V27),"",'Raw Cost Data'!V27/'Raw Cost Data'!AC27)</f>
        <v/>
      </c>
      <c r="D50" s="753" t="str">
        <f>IF(ISBLANK('Raw Cost Data'!W27),"",'Raw Cost Data'!W27/'Raw Cost Data'!AC27)</f>
        <v/>
      </c>
      <c r="E50" s="753" t="str">
        <f>IF(ISBLANK('Raw Cost Data'!X27),"",'Raw Cost Data'!X27/'Raw Cost Data'!AC27)</f>
        <v/>
      </c>
      <c r="F50" s="753" t="str">
        <f>IF(ISBLANK('Raw Cost Data'!Y27),"",'Raw Cost Data'!Y27/'Raw Cost Data'!AC27)</f>
        <v/>
      </c>
      <c r="G50" s="753" t="str">
        <f>IF(ISBLANK('Raw Cost Data'!Z27),"",'Raw Cost Data'!Z27/'Raw Cost Data'!AC27)</f>
        <v/>
      </c>
      <c r="H50" s="753">
        <f>IF(ISBLANK('Raw Cost Data'!AA27),"",'Raw Cost Data'!AA27/'Raw Cost Data'!AC27)</f>
        <v>6.1012508314541115E-2</v>
      </c>
      <c r="I50" s="754" t="str">
        <f>IF(ISBLANK('Raw Cost Data'!AB27),"",'Raw Cost Data'!AB27/'Raw Cost Data'!AC27)</f>
        <v/>
      </c>
      <c r="J50" s="750"/>
    </row>
    <row r="51" spans="1:10">
      <c r="B51" s="752" t="str">
        <f>IF(ISBLANK('Raw Cost Data'!U28),"",'Raw Cost Data'!U28/'Raw Cost Data'!AC28)</f>
        <v/>
      </c>
      <c r="C51" s="753" t="str">
        <f>IF(ISBLANK('Raw Cost Data'!V28),"",'Raw Cost Data'!V28/'Raw Cost Data'!AC28)</f>
        <v/>
      </c>
      <c r="D51" s="753" t="str">
        <f>IF(ISBLANK('Raw Cost Data'!W28),"",'Raw Cost Data'!W28/'Raw Cost Data'!AC28)</f>
        <v/>
      </c>
      <c r="E51" s="753" t="str">
        <f>IF(ISBLANK('Raw Cost Data'!X28),"",'Raw Cost Data'!X28/'Raw Cost Data'!AC28)</f>
        <v/>
      </c>
      <c r="F51" s="753" t="str">
        <f>IF(ISBLANK('Raw Cost Data'!Y28),"",'Raw Cost Data'!Y28/'Raw Cost Data'!AC28)</f>
        <v/>
      </c>
      <c r="G51" s="753" t="str">
        <f>IF(ISBLANK('Raw Cost Data'!Z28),"",'Raw Cost Data'!Z28/'Raw Cost Data'!AC28)</f>
        <v/>
      </c>
      <c r="H51" s="753" t="str">
        <f>IF(ISBLANK('Raw Cost Data'!AA28),"",'Raw Cost Data'!AA28/'Raw Cost Data'!AC28)</f>
        <v/>
      </c>
      <c r="I51" s="754">
        <f>IF(ISBLANK('Raw Cost Data'!AB28),"",'Raw Cost Data'!AB28/'Raw Cost Data'!AC28)</f>
        <v>1</v>
      </c>
      <c r="J51" s="759"/>
    </row>
    <row r="52" spans="1:10">
      <c r="B52" s="752">
        <f>IF(ISBLANK('Raw Cost Data'!U29),"",'Raw Cost Data'!U29/'Raw Cost Data'!AC29)</f>
        <v>5.3054304672598286E-2</v>
      </c>
      <c r="C52" s="753" t="str">
        <f>IF(ISBLANK('Raw Cost Data'!V29),"",'Raw Cost Data'!V29/'Raw Cost Data'!AC29)</f>
        <v/>
      </c>
      <c r="D52" s="753" t="str">
        <f>IF(ISBLANK('Raw Cost Data'!W29),"",'Raw Cost Data'!W29/'Raw Cost Data'!AC29)</f>
        <v/>
      </c>
      <c r="E52" s="753" t="str">
        <f>IF(ISBLANK('Raw Cost Data'!X29),"",'Raw Cost Data'!X29/'Raw Cost Data'!AC29)</f>
        <v/>
      </c>
      <c r="F52" s="753" t="str">
        <f>IF(ISBLANK('Raw Cost Data'!Y29),"",'Raw Cost Data'!Y29/'Raw Cost Data'!AC29)</f>
        <v/>
      </c>
      <c r="G52" s="753" t="str">
        <f>IF(ISBLANK('Raw Cost Data'!Z29),"",'Raw Cost Data'!Z29/'Raw Cost Data'!AC29)</f>
        <v/>
      </c>
      <c r="H52" s="753">
        <f>IF(ISBLANK('Raw Cost Data'!AA29),"",'Raw Cost Data'!AA29/'Raw Cost Data'!AC29)</f>
        <v>6.1012508314541115E-2</v>
      </c>
      <c r="I52" s="754" t="str">
        <f>IF(ISBLANK('Raw Cost Data'!AB29),"",'Raw Cost Data'!AB29/'Raw Cost Data'!AC29)</f>
        <v/>
      </c>
      <c r="J52" s="750"/>
    </row>
    <row r="53" spans="1:10" hidden="1">
      <c r="B53" s="752" t="str">
        <f>IF(ISBLANK('Raw Cost Data'!U30),"",'Raw Cost Data'!U30/'Raw Cost Data'!AC30)</f>
        <v/>
      </c>
      <c r="C53" s="753" t="str">
        <f>IF(ISBLANK('Raw Cost Data'!V30),"",'Raw Cost Data'!V30/'Raw Cost Data'!AC30)</f>
        <v/>
      </c>
      <c r="D53" s="753" t="str">
        <f>IF(ISBLANK('Raw Cost Data'!W30),"",'Raw Cost Data'!W30/'Raw Cost Data'!AC30)</f>
        <v/>
      </c>
      <c r="E53" s="753" t="str">
        <f>IF(ISBLANK('Raw Cost Data'!X30),"",'Raw Cost Data'!X30/'Raw Cost Data'!AC30)</f>
        <v/>
      </c>
      <c r="F53" s="753" t="str">
        <f>IF(ISBLANK('Raw Cost Data'!Y30),"",'Raw Cost Data'!Y30/'Raw Cost Data'!AC30)</f>
        <v/>
      </c>
      <c r="G53" s="753" t="str">
        <f>IF(ISBLANK('Raw Cost Data'!Z30),"",'Raw Cost Data'!Z30/'Raw Cost Data'!AC30)</f>
        <v/>
      </c>
      <c r="H53" s="753" t="str">
        <f>IF(ISBLANK('Raw Cost Data'!AA30),"",'Raw Cost Data'!AA30/'Raw Cost Data'!AC30)</f>
        <v/>
      </c>
      <c r="I53" s="754">
        <f>IF(ISBLANK('Raw Cost Data'!AB30),"",'Raw Cost Data'!AB30/'Raw Cost Data'!AC30)</f>
        <v>0.57734655319272155</v>
      </c>
    </row>
    <row r="54" spans="1:10" hidden="1">
      <c r="B54" s="752" t="str">
        <f>IF(ISBLANK('Raw Cost Data'!U31),"",'Raw Cost Data'!U31/'Raw Cost Data'!AC31)</f>
        <v/>
      </c>
      <c r="C54" s="753" t="str">
        <f>IF(ISBLANK('Raw Cost Data'!V31),"",'Raw Cost Data'!V31/'Raw Cost Data'!AC31)</f>
        <v/>
      </c>
      <c r="D54" s="753" t="str">
        <f>IF(ISBLANK('Raw Cost Data'!W31),"",'Raw Cost Data'!W31/'Raw Cost Data'!AC31)</f>
        <v/>
      </c>
      <c r="E54" s="753" t="str">
        <f>IF(ISBLANK('Raw Cost Data'!X31),"",'Raw Cost Data'!X31/'Raw Cost Data'!AC31)</f>
        <v/>
      </c>
      <c r="F54" s="753" t="str">
        <f>IF(ISBLANK('Raw Cost Data'!Y31),"",'Raw Cost Data'!Y31/'Raw Cost Data'!AC31)</f>
        <v/>
      </c>
      <c r="G54" s="753" t="str">
        <f>IF(ISBLANK('Raw Cost Data'!Z31),"",'Raw Cost Data'!Z31/'Raw Cost Data'!AC31)</f>
        <v/>
      </c>
      <c r="H54" s="753" t="str">
        <f>IF(ISBLANK('Raw Cost Data'!AA31),"",'Raw Cost Data'!AA31/'Raw Cost Data'!AC31)</f>
        <v/>
      </c>
      <c r="I54" s="754" t="str">
        <f>IF(ISBLANK('Raw Cost Data'!AB31),"",'Raw Cost Data'!AB31/'Raw Cost Data'!AC31)</f>
        <v/>
      </c>
    </row>
    <row r="55" spans="1:10" hidden="1">
      <c r="B55" s="752" t="str">
        <f>IF(ISBLANK('Raw Cost Data'!U32),"",'Raw Cost Data'!U32/'Raw Cost Data'!AC32)</f>
        <v/>
      </c>
      <c r="C55" s="753" t="str">
        <f>IF(ISBLANK('Raw Cost Data'!V32),"",'Raw Cost Data'!V32/'Raw Cost Data'!AC32)</f>
        <v/>
      </c>
      <c r="D55" s="753" t="str">
        <f>IF(ISBLANK('Raw Cost Data'!W32),"",'Raw Cost Data'!W32/'Raw Cost Data'!AC32)</f>
        <v/>
      </c>
      <c r="E55" s="753" t="str">
        <f>IF(ISBLANK('Raw Cost Data'!X32),"",'Raw Cost Data'!X32/'Raw Cost Data'!AC32)</f>
        <v/>
      </c>
      <c r="F55" s="753" t="str">
        <f>IF(ISBLANK('Raw Cost Data'!Y32),"",'Raw Cost Data'!Y32/'Raw Cost Data'!AC32)</f>
        <v/>
      </c>
      <c r="G55" s="753" t="str">
        <f>IF(ISBLANK('Raw Cost Data'!Z32),"",'Raw Cost Data'!Z32/'Raw Cost Data'!AC32)</f>
        <v/>
      </c>
      <c r="H55" s="753" t="str">
        <f>IF(ISBLANK('Raw Cost Data'!AA32),"",'Raw Cost Data'!AA32/'Raw Cost Data'!AC32)</f>
        <v/>
      </c>
      <c r="I55" s="754" t="str">
        <f>IF(ISBLANK('Raw Cost Data'!AB32),"",'Raw Cost Data'!AB32/'Raw Cost Data'!AC32)</f>
        <v/>
      </c>
    </row>
    <row r="56" spans="1:10" ht="23.65" hidden="1" customHeight="1">
      <c r="B56" s="752" t="str">
        <f>IF(ISBLANK('Raw Cost Data'!U33),"",'Raw Cost Data'!U33/'Raw Cost Data'!AC33)</f>
        <v/>
      </c>
      <c r="C56" s="753" t="str">
        <f>IF(ISBLANK('Raw Cost Data'!V33),"",'Raw Cost Data'!V33/'Raw Cost Data'!AC33)</f>
        <v/>
      </c>
      <c r="D56" s="753" t="str">
        <f>IF(ISBLANK('Raw Cost Data'!W33),"",'Raw Cost Data'!W33/'Raw Cost Data'!AC33)</f>
        <v/>
      </c>
      <c r="E56" s="753" t="str">
        <f>IF(ISBLANK('Raw Cost Data'!X33),"",'Raw Cost Data'!X33/'Raw Cost Data'!AC33)</f>
        <v/>
      </c>
      <c r="F56" s="753" t="str">
        <f>IF(ISBLANK('Raw Cost Data'!Y33),"",'Raw Cost Data'!Y33/'Raw Cost Data'!AC33)</f>
        <v/>
      </c>
      <c r="G56" s="753" t="str">
        <f>IF(ISBLANK('Raw Cost Data'!Z33),"",'Raw Cost Data'!Z33/'Raw Cost Data'!AC33)</f>
        <v/>
      </c>
      <c r="H56" s="753" t="str">
        <f>IF(ISBLANK('Raw Cost Data'!AA33),"",'Raw Cost Data'!AA33/'Raw Cost Data'!AC33)</f>
        <v/>
      </c>
      <c r="I56" s="754" t="str">
        <f>IF(ISBLANK('Raw Cost Data'!AB33),"",'Raw Cost Data'!AB33/'Raw Cost Data'!AC33)</f>
        <v/>
      </c>
    </row>
    <row r="57" spans="1:10" s="765" customFormat="1" ht="36.6" hidden="1" customHeight="1">
      <c r="B57" s="752" t="str">
        <f>IF(ISBLANK('Raw Cost Data'!U34),"",'Raw Cost Data'!U34/'Raw Cost Data'!AC34)</f>
        <v/>
      </c>
      <c r="C57" s="753" t="str">
        <f>IF(ISBLANK('Raw Cost Data'!V34),"",'Raw Cost Data'!V34/'Raw Cost Data'!AC34)</f>
        <v/>
      </c>
      <c r="D57" s="753" t="str">
        <f>IF(ISBLANK('Raw Cost Data'!W34),"",'Raw Cost Data'!W34/'Raw Cost Data'!AC34)</f>
        <v/>
      </c>
      <c r="E57" s="753" t="str">
        <f>IF(ISBLANK('Raw Cost Data'!X34),"",'Raw Cost Data'!X34/'Raw Cost Data'!AC34)</f>
        <v/>
      </c>
      <c r="F57" s="753" t="str">
        <f>IF(ISBLANK('Raw Cost Data'!Y34),"",'Raw Cost Data'!Y34/'Raw Cost Data'!AC34)</f>
        <v/>
      </c>
      <c r="G57" s="753" t="str">
        <f>IF(ISBLANK('Raw Cost Data'!Z34),"",'Raw Cost Data'!Z34/'Raw Cost Data'!AC34)</f>
        <v/>
      </c>
      <c r="H57" s="753" t="str">
        <f>IF(ISBLANK('Raw Cost Data'!AA34),"",'Raw Cost Data'!AA34/'Raw Cost Data'!AC34)</f>
        <v/>
      </c>
      <c r="I57" s="754" t="str">
        <f>IF(ISBLANK('Raw Cost Data'!AB34),"",'Raw Cost Data'!AB34/'Raw Cost Data'!AC34)</f>
        <v/>
      </c>
    </row>
    <row r="58" spans="1:10" hidden="1">
      <c r="B58" s="752"/>
      <c r="C58" s="753"/>
      <c r="D58" s="753"/>
      <c r="E58" s="753"/>
      <c r="F58" s="753"/>
      <c r="G58" s="753"/>
      <c r="H58" s="753"/>
      <c r="I58" s="754"/>
    </row>
    <row r="59" spans="1:10" hidden="1">
      <c r="B59" s="752" t="str">
        <f>IF(ISBLANK('Raw Cost Data'!U36),"",'Raw Cost Data'!U36/'Raw Cost Data'!AC36)</f>
        <v/>
      </c>
      <c r="C59" s="753" t="str">
        <f>IF(ISBLANK('Raw Cost Data'!V36),"",'Raw Cost Data'!V36/'Raw Cost Data'!AC36)</f>
        <v/>
      </c>
      <c r="D59" s="753" t="str">
        <f>IF(ISBLANK('Raw Cost Data'!W36),"",'Raw Cost Data'!W36/'Raw Cost Data'!AC36)</f>
        <v/>
      </c>
      <c r="E59" s="753" t="str">
        <f>IF(ISBLANK('Raw Cost Data'!X36),"",'Raw Cost Data'!X36/'Raw Cost Data'!AC36)</f>
        <v/>
      </c>
      <c r="F59" s="753" t="str">
        <f>IF(ISBLANK('Raw Cost Data'!Y36),"",'Raw Cost Data'!Y36/'Raw Cost Data'!AC36)</f>
        <v/>
      </c>
      <c r="G59" s="753" t="str">
        <f>IF(ISBLANK('Raw Cost Data'!Z36),"",'Raw Cost Data'!Z36/'Raw Cost Data'!AC36)</f>
        <v/>
      </c>
      <c r="H59" s="753" t="str">
        <f>IF(ISBLANK('Raw Cost Data'!AA36),"",'Raw Cost Data'!AA36/'Raw Cost Data'!AC36)</f>
        <v/>
      </c>
      <c r="I59" s="754" t="str">
        <f>IF(ISBLANK('Raw Cost Data'!AB36),"",'Raw Cost Data'!AB36/'Raw Cost Data'!AC36)</f>
        <v/>
      </c>
    </row>
    <row r="60" spans="1:10" hidden="1">
      <c r="B60" s="752" t="str">
        <f>IF(ISBLANK('Raw Cost Data'!U37),"",'Raw Cost Data'!U37/'Raw Cost Data'!AC37)</f>
        <v/>
      </c>
      <c r="C60" s="753" t="str">
        <f>IF(ISBLANK('Raw Cost Data'!V37),"",'Raw Cost Data'!V37/'Raw Cost Data'!AC37)</f>
        <v/>
      </c>
      <c r="D60" s="753" t="str">
        <f>IF(ISBLANK('Raw Cost Data'!W37),"",'Raw Cost Data'!W37/'Raw Cost Data'!AC37)</f>
        <v/>
      </c>
      <c r="E60" s="753" t="str">
        <f>IF(ISBLANK('Raw Cost Data'!X37),"",'Raw Cost Data'!X37/'Raw Cost Data'!AC37)</f>
        <v/>
      </c>
      <c r="F60" s="753" t="str">
        <f>IF(ISBLANK('Raw Cost Data'!Y37),"",'Raw Cost Data'!Y37/'Raw Cost Data'!AC37)</f>
        <v/>
      </c>
      <c r="G60" s="753" t="str">
        <f>IF(ISBLANK('Raw Cost Data'!Z37),"",'Raw Cost Data'!Z37/'Raw Cost Data'!AC37)</f>
        <v/>
      </c>
      <c r="H60" s="753" t="str">
        <f>IF(ISBLANK('Raw Cost Data'!AA37),"",'Raw Cost Data'!AA37/'Raw Cost Data'!AC37)</f>
        <v/>
      </c>
      <c r="I60" s="754" t="str">
        <f>IF(ISBLANK('Raw Cost Data'!AB37),"",'Raw Cost Data'!AB37/'Raw Cost Data'!AC37)</f>
        <v/>
      </c>
    </row>
    <row r="61" spans="1:10">
      <c r="A61" s="755" t="s">
        <v>686</v>
      </c>
      <c r="B61" s="756">
        <f t="shared" ref="B61:I61" si="0">MEDIAN(B25:B50)</f>
        <v>0.13306523252861852</v>
      </c>
      <c r="C61" s="756">
        <f t="shared" si="0"/>
        <v>6.9317444398560552E-2</v>
      </c>
      <c r="D61" s="756">
        <f t="shared" si="0"/>
        <v>0.41229500710745987</v>
      </c>
      <c r="E61" s="756">
        <f t="shared" si="0"/>
        <v>9.8322616168171006E-2</v>
      </c>
      <c r="F61" s="757">
        <f t="shared" si="0"/>
        <v>3.859287847484931E-2</v>
      </c>
      <c r="G61" s="756">
        <f t="shared" si="0"/>
        <v>3.3875620004408927E-2</v>
      </c>
      <c r="H61" s="756">
        <f t="shared" si="0"/>
        <v>9.8010805761657591E-2</v>
      </c>
      <c r="I61" s="758">
        <f t="shared" si="0"/>
        <v>0.17614239341620649</v>
      </c>
    </row>
    <row r="62" spans="1:10">
      <c r="A62" s="760" t="s">
        <v>685</v>
      </c>
      <c r="B62" s="761">
        <f t="shared" ref="B62:I62" si="1">AVERAGE(B25:B50)</f>
        <v>0.14126815977759036</v>
      </c>
      <c r="C62" s="761">
        <f t="shared" si="1"/>
        <v>8.036435169537838E-2</v>
      </c>
      <c r="D62" s="761">
        <f t="shared" si="1"/>
        <v>0.35949404943537194</v>
      </c>
      <c r="E62" s="761">
        <f t="shared" si="1"/>
        <v>0.10633211263256187</v>
      </c>
      <c r="F62" s="750">
        <f t="shared" si="1"/>
        <v>3.9305974883662539E-2</v>
      </c>
      <c r="G62" s="761">
        <f t="shared" si="1"/>
        <v>6.9643928009299791E-2</v>
      </c>
      <c r="H62" s="761">
        <f t="shared" si="1"/>
        <v>0.10334057635552009</v>
      </c>
      <c r="I62" s="751">
        <f t="shared" si="1"/>
        <v>0.29009264299535087</v>
      </c>
    </row>
    <row r="63" spans="1:10">
      <c r="A63" s="762" t="s">
        <v>687</v>
      </c>
      <c r="B63" s="763">
        <f>COUNT(B25:B61)</f>
        <v>17</v>
      </c>
      <c r="C63" s="763">
        <f t="shared" ref="C63:I63" si="2">COUNT(C25:C49)</f>
        <v>13</v>
      </c>
      <c r="D63" s="763">
        <f t="shared" si="2"/>
        <v>14</v>
      </c>
      <c r="E63" s="763">
        <f t="shared" si="2"/>
        <v>11</v>
      </c>
      <c r="F63" s="736">
        <f t="shared" si="2"/>
        <v>8</v>
      </c>
      <c r="G63" s="763">
        <f t="shared" si="2"/>
        <v>12</v>
      </c>
      <c r="H63" s="763">
        <f t="shared" si="2"/>
        <v>12</v>
      </c>
      <c r="I63" s="764">
        <f t="shared" si="2"/>
        <v>11</v>
      </c>
    </row>
    <row r="64" spans="1:10">
      <c r="A64" s="721"/>
    </row>
    <row r="65" spans="1:10">
      <c r="A65" s="721" t="s">
        <v>683</v>
      </c>
    </row>
    <row r="66" spans="1:10" ht="33.6" customHeight="1">
      <c r="B66" s="949" t="s">
        <v>688</v>
      </c>
      <c r="C66" s="950"/>
      <c r="D66" s="950"/>
      <c r="E66" s="950"/>
      <c r="F66" s="950"/>
      <c r="G66" s="950"/>
      <c r="H66" s="950"/>
      <c r="I66" s="950"/>
      <c r="J66" s="951"/>
    </row>
    <row r="67" spans="1:10" ht="28.9">
      <c r="A67" s="765"/>
      <c r="B67" s="766" t="s">
        <v>220</v>
      </c>
      <c r="C67" s="767" t="s">
        <v>228</v>
      </c>
      <c r="D67" s="767" t="s">
        <v>689</v>
      </c>
      <c r="E67" s="767" t="s">
        <v>582</v>
      </c>
      <c r="F67" s="767" t="s">
        <v>583</v>
      </c>
      <c r="G67" s="767" t="s">
        <v>452</v>
      </c>
      <c r="H67" s="767" t="s">
        <v>584</v>
      </c>
      <c r="I67" s="767" t="s">
        <v>585</v>
      </c>
      <c r="J67" s="768" t="s">
        <v>233</v>
      </c>
    </row>
    <row r="68" spans="1:10">
      <c r="A68" s="748"/>
      <c r="B68" s="769">
        <f>IF(ISBLANK('Raw Cost Data'!AO2),"",'Raw Cost Data'!AO2/'Raw Cost Data'!$AX2)</f>
        <v>0.17224908553200677</v>
      </c>
      <c r="C68" s="759">
        <f>IF(ISBLANK('Raw Cost Data'!AP2),"",'Raw Cost Data'!AP2/'Raw Cost Data'!$AX2)</f>
        <v>7.0110974068812684E-2</v>
      </c>
      <c r="D68" s="759">
        <f>IF(ISBLANK('Raw Cost Data'!AQ2),"",'Raw Cost Data'!AQ2/'Raw Cost Data'!$AX2)</f>
        <v>9.6375793130205445E-2</v>
      </c>
      <c r="E68" s="759">
        <f>IF(ISBLANK('Raw Cost Data'!AR2),"",'Raw Cost Data'!AR2/'Raw Cost Data'!$AX2)</f>
        <v>0.10658703787852483</v>
      </c>
      <c r="F68" s="759">
        <f>IF(ISBLANK('Raw Cost Data'!AS2),"",'Raw Cost Data'!AS2/'Raw Cost Data'!$AX2)</f>
        <v>0.15123481484948076</v>
      </c>
      <c r="G68" s="759">
        <f>IF(ISBLANK('Raw Cost Data'!AT2),"",'Raw Cost Data'!AT2/'Raw Cost Data'!$AX2)</f>
        <v>3.4419926117930516E-2</v>
      </c>
      <c r="H68" s="759">
        <f>IF(ISBLANK('Raw Cost Data'!AU2),"",'Raw Cost Data'!AU2/'Raw Cost Data'!$AX2)</f>
        <v>0.26684198687513871</v>
      </c>
      <c r="I68" s="759">
        <f>IF(ISBLANK('Raw Cost Data'!AV2),"",'Raw Cost Data'!AV2/'Raw Cost Data'!$AX2)</f>
        <v>0.10218038154790031</v>
      </c>
      <c r="J68" s="770" t="str">
        <f>IF(ISBLANK('Raw Cost Data'!AW2),"",'Raw Cost Data'!AW2/'Raw Cost Data'!$AX2)</f>
        <v/>
      </c>
    </row>
    <row r="69" spans="1:10">
      <c r="B69" s="769">
        <f>IF(ISBLANK('Raw Cost Data'!AO3),"",'Raw Cost Data'!AO3/'Raw Cost Data'!$AX3)</f>
        <v>0.24906054510082268</v>
      </c>
      <c r="C69" s="759">
        <f>IF(ISBLANK('Raw Cost Data'!AP3),"",'Raw Cost Data'!AP3/'Raw Cost Data'!$AX3)</f>
        <v>7.8103658155365865E-2</v>
      </c>
      <c r="D69" s="759">
        <f>IF(ISBLANK('Raw Cost Data'!AQ3),"",'Raw Cost Data'!AQ3/'Raw Cost Data'!$AX3)</f>
        <v>7.3788307289463909E-2</v>
      </c>
      <c r="E69" s="759">
        <f>IF(ISBLANK('Raw Cost Data'!AR3),"",'Raw Cost Data'!AR3/'Raw Cost Data'!$AX3)</f>
        <v>7.8111748978533568E-2</v>
      </c>
      <c r="F69" s="759">
        <f>IF(ISBLANK('Raw Cost Data'!AS3),"",'Raw Cost Data'!AS3/'Raw Cost Data'!$AX3)</f>
        <v>0.13192454939631426</v>
      </c>
      <c r="G69" s="759">
        <f>IF(ISBLANK('Raw Cost Data'!AT3),"",'Raw Cost Data'!AT3/'Raw Cost Data'!$AX3)</f>
        <v>5.5900232795048417E-2</v>
      </c>
      <c r="H69" s="759">
        <f>IF(ISBLANK('Raw Cost Data'!AU3),"",'Raw Cost Data'!AU3/'Raw Cost Data'!$AX3)</f>
        <v>0.24266364609268407</v>
      </c>
      <c r="I69" s="759">
        <f>IF(ISBLANK('Raw Cost Data'!AV3),"",'Raw Cost Data'!AV3/'Raw Cost Data'!$AX3)</f>
        <v>9.0447312191767215E-2</v>
      </c>
      <c r="J69" s="770" t="str">
        <f>IF(ISBLANK('Raw Cost Data'!AW3),"",'Raw Cost Data'!AW3/'Raw Cost Data'!$AX3)</f>
        <v/>
      </c>
    </row>
    <row r="70" spans="1:10">
      <c r="B70" s="769">
        <f>IF(ISBLANK('Raw Cost Data'!AO4),"",'Raw Cost Data'!AO4/'Raw Cost Data'!$AX4)</f>
        <v>0.12292572420842131</v>
      </c>
      <c r="C70" s="759">
        <f>IF(ISBLANK('Raw Cost Data'!AP4),"",'Raw Cost Data'!AP4/'Raw Cost Data'!$AX4)</f>
        <v>0.12292572420842131</v>
      </c>
      <c r="D70" s="759">
        <f>IF(ISBLANK('Raw Cost Data'!AQ4),"",'Raw Cost Data'!AQ4/'Raw Cost Data'!$AX4)</f>
        <v>0.12292572420842131</v>
      </c>
      <c r="E70" s="759">
        <f>IF(ISBLANK('Raw Cost Data'!AR4),"",'Raw Cost Data'!AR4/'Raw Cost Data'!$AX4)</f>
        <v>2.746003857920409E-2</v>
      </c>
      <c r="F70" s="759">
        <f>IF(ISBLANK('Raw Cost Data'!AS4),"",'Raw Cost Data'!AS4/'Raw Cost Data'!$AX4)</f>
        <v>0.12292572420842131</v>
      </c>
      <c r="G70" s="759" t="str">
        <f>IF(ISBLANK('Raw Cost Data'!AT4),"",'Raw Cost Data'!AT4/'Raw Cost Data'!$AX4)</f>
        <v/>
      </c>
      <c r="H70" s="759">
        <f>IF(ISBLANK('Raw Cost Data'!AU4),"",'Raw Cost Data'!AU4/'Raw Cost Data'!$AX4)</f>
        <v>0.12292572420842131</v>
      </c>
      <c r="I70" s="759">
        <f>IF(ISBLANK('Raw Cost Data'!AV4),"",'Raw Cost Data'!AV4/'Raw Cost Data'!$AX4)</f>
        <v>0.12292572420842131</v>
      </c>
      <c r="J70" s="770">
        <f>IF(ISBLANK('Raw Cost Data'!AW4),"",'Raw Cost Data'!AW4/'Raw Cost Data'!$AX4)</f>
        <v>0.23498561617026803</v>
      </c>
    </row>
    <row r="71" spans="1:10">
      <c r="B71" s="769">
        <f>IF(ISBLANK('Raw Cost Data'!AO5),"",'Raw Cost Data'!AO5/'Raw Cost Data'!$AX5)</f>
        <v>0.12303991947639217</v>
      </c>
      <c r="C71" s="759">
        <f>IF(ISBLANK('Raw Cost Data'!AP5),"",'Raw Cost Data'!AP5/'Raw Cost Data'!$AX5)</f>
        <v>4.5772255120862054E-2</v>
      </c>
      <c r="D71" s="759">
        <f>IF(ISBLANK('Raw Cost Data'!AQ5),"",'Raw Cost Data'!AQ5/'Raw Cost Data'!$AX5)</f>
        <v>8.9669372927513424E-2</v>
      </c>
      <c r="E71" s="759">
        <f>IF(ISBLANK('Raw Cost Data'!AR5),"",'Raw Cost Data'!AR5/'Raw Cost Data'!$AX5)</f>
        <v>4.9329651183584629E-2</v>
      </c>
      <c r="F71" s="759">
        <f>IF(ISBLANK('Raw Cost Data'!AS5),"",'Raw Cost Data'!AS5/'Raw Cost Data'!$AX5)</f>
        <v>0.16031785365753964</v>
      </c>
      <c r="G71" s="759" t="str">
        <f>IF(ISBLANK('Raw Cost Data'!AT5),"",'Raw Cost Data'!AT5/'Raw Cost Data'!$AX5)</f>
        <v/>
      </c>
      <c r="H71" s="759">
        <f>IF(ISBLANK('Raw Cost Data'!AU5),"",'Raw Cost Data'!AU5/'Raw Cost Data'!$AX5)</f>
        <v>8.2306776552097644E-2</v>
      </c>
      <c r="I71" s="759">
        <f>IF(ISBLANK('Raw Cost Data'!AV5),"",'Raw Cost Data'!AV5/'Raw Cost Data'!$AX5)</f>
        <v>4.7363822623250678E-3</v>
      </c>
      <c r="J71" s="770">
        <f>IF(ISBLANK('Raw Cost Data'!AW5),"",'Raw Cost Data'!AW5/'Raw Cost Data'!$AX5)</f>
        <v>0.44482778881968538</v>
      </c>
    </row>
    <row r="72" spans="1:10">
      <c r="B72" s="769">
        <f>IF(ISBLANK('Raw Cost Data'!AO6),"",'Raw Cost Data'!AO6/'Raw Cost Data'!$AX6)</f>
        <v>0.13375596502838832</v>
      </c>
      <c r="C72" s="759">
        <f>IF(ISBLANK('Raw Cost Data'!AP6),"",'Raw Cost Data'!AP6/'Raw Cost Data'!$AX6)</f>
        <v>0.20011146330419033</v>
      </c>
      <c r="D72" s="759">
        <f>IF(ISBLANK('Raw Cost Data'!AQ6),"",'Raw Cost Data'!AQ6/'Raw Cost Data'!$AX6)</f>
        <v>0.14556410881605072</v>
      </c>
      <c r="E72" s="759">
        <f>IF(ISBLANK('Raw Cost Data'!AR6),"",'Raw Cost Data'!AR6/'Raw Cost Data'!$AX6)</f>
        <v>7.6631021630847465E-2</v>
      </c>
      <c r="F72" s="759">
        <f>IF(ISBLANK('Raw Cost Data'!AS6),"",'Raw Cost Data'!AS6/'Raw Cost Data'!$AX6)</f>
        <v>0.20899369535685675</v>
      </c>
      <c r="G72" s="759">
        <f>IF(ISBLANK('Raw Cost Data'!AT6),"",'Raw Cost Data'!AT6/'Raw Cost Data'!$AX6)</f>
        <v>8.7080706398690311E-2</v>
      </c>
      <c r="H72" s="759" t="str">
        <f>IF(ISBLANK('Raw Cost Data'!AU6),"",'Raw Cost Data'!AU6/'Raw Cost Data'!$AX6)</f>
        <v/>
      </c>
      <c r="I72" s="759">
        <f>IF(ISBLANK('Raw Cost Data'!AV6),"",'Raw Cost Data'!AV6/'Raw Cost Data'!$AX6)</f>
        <v>0.13044689818523808</v>
      </c>
      <c r="J72" s="770">
        <f>IF(ISBLANK('Raw Cost Data'!AW6),"",'Raw Cost Data'!AW6/'Raw Cost Data'!$AX6)</f>
        <v>1.7416141279738062E-2</v>
      </c>
    </row>
    <row r="73" spans="1:10">
      <c r="B73" s="769">
        <f>IF(ISBLANK('Raw Cost Data'!AO7),"",'Raw Cost Data'!AO7/'Raw Cost Data'!$AX7)</f>
        <v>0.10712372790573112</v>
      </c>
      <c r="C73" s="759">
        <f>IF(ISBLANK('Raw Cost Data'!AP7),"",'Raw Cost Data'!AP7/'Raw Cost Data'!$AX7)</f>
        <v>0.24102838778789501</v>
      </c>
      <c r="D73" s="759">
        <f>IF(ISBLANK('Raw Cost Data'!AQ7),"",'Raw Cost Data'!AQ7/'Raw Cost Data'!$AX7)</f>
        <v>0.16711301553294056</v>
      </c>
      <c r="E73" s="759" t="str">
        <f>IF(ISBLANK('Raw Cost Data'!AR7),"",'Raw Cost Data'!AR7/'Raw Cost Data'!$AX7)</f>
        <v/>
      </c>
      <c r="F73" s="759">
        <f>IF(ISBLANK('Raw Cost Data'!AS7),"",'Raw Cost Data'!AS7/'Raw Cost Data'!$AX7)</f>
        <v>0.30262453133369044</v>
      </c>
      <c r="G73" s="759">
        <f>IF(ISBLANK('Raw Cost Data'!AT7),"",'Raw Cost Data'!AT7/'Raw Cost Data'!$AX7)</f>
        <v>0.12854847348687734</v>
      </c>
      <c r="H73" s="759" t="str">
        <f>IF(ISBLANK('Raw Cost Data'!AU7),"",'Raw Cost Data'!AU7/'Raw Cost Data'!$AX7)</f>
        <v/>
      </c>
      <c r="I73" s="759" t="str">
        <f>IF(ISBLANK('Raw Cost Data'!AV7),"",'Raw Cost Data'!AV7/'Raw Cost Data'!$AX7)</f>
        <v/>
      </c>
      <c r="J73" s="770">
        <f>IF(ISBLANK('Raw Cost Data'!AW7),"",'Raw Cost Data'!AW7/'Raw Cost Data'!$AX7)</f>
        <v>5.3561863952865559E-2</v>
      </c>
    </row>
    <row r="74" spans="1:10">
      <c r="B74" s="769">
        <f>IF(ISBLANK('Raw Cost Data'!AO8),"",'Raw Cost Data'!AO8/'Raw Cost Data'!$AX8)</f>
        <v>0.2414059482425647</v>
      </c>
      <c r="C74" s="759">
        <f>IF(ISBLANK('Raw Cost Data'!AP8),"",'Raw Cost Data'!AP8/'Raw Cost Data'!$AX8)</f>
        <v>4.4427091205266431E-2</v>
      </c>
      <c r="D74" s="759">
        <f>IF(ISBLANK('Raw Cost Data'!AQ8),"",'Raw Cost Data'!AQ8/'Raw Cost Data'!$AX8)</f>
        <v>0.10312862108922363</v>
      </c>
      <c r="E74" s="759">
        <f>IF(ISBLANK('Raw Cost Data'!AR8),"",'Raw Cost Data'!AR8/'Raw Cost Data'!$AX8)</f>
        <v>9.8451643239793774E-2</v>
      </c>
      <c r="F74" s="759">
        <f>IF(ISBLANK('Raw Cost Data'!AS8),"",'Raw Cost Data'!AS8/'Raw Cost Data'!$AX8)</f>
        <v>0.1607973533511344</v>
      </c>
      <c r="G74" s="759">
        <f>IF(ISBLANK('Raw Cost Data'!AT8),"",'Raw Cost Data'!AT8/'Raw Cost Data'!$AX8)</f>
        <v>4.828118964851294E-2</v>
      </c>
      <c r="H74" s="759">
        <f>IF(ISBLANK('Raw Cost Data'!AU8),"",'Raw Cost Data'!AU8/'Raw Cost Data'!$AX8)</f>
        <v>0.27554704687053921</v>
      </c>
      <c r="I74" s="759">
        <f>IF(ISBLANK('Raw Cost Data'!AV8),"",'Raw Cost Data'!AV8/'Raw Cost Data'!$AX8)</f>
        <v>2.7961106352964886E-2</v>
      </c>
      <c r="J74" s="770" t="str">
        <f>IF(ISBLANK('Raw Cost Data'!AW8),"",'Raw Cost Data'!AW8/'Raw Cost Data'!$AX8)</f>
        <v/>
      </c>
    </row>
    <row r="75" spans="1:10">
      <c r="B75" s="769">
        <f>IF(ISBLANK('Raw Cost Data'!AO9),"",'Raw Cost Data'!AO9/'Raw Cost Data'!$AX9)</f>
        <v>0.21602325331036709</v>
      </c>
      <c r="C75" s="759">
        <f>IF(ISBLANK('Raw Cost Data'!AP9),"",'Raw Cost Data'!AP9/'Raw Cost Data'!$AX9)</f>
        <v>5.9287329098934222E-2</v>
      </c>
      <c r="D75" s="759">
        <f>IF(ISBLANK('Raw Cost Data'!AQ9),"",'Raw Cost Data'!AQ9/'Raw Cost Data'!$AX9)</f>
        <v>0.11239100010765421</v>
      </c>
      <c r="E75" s="759">
        <f>IF(ISBLANK('Raw Cost Data'!AR9),"",'Raw Cost Data'!AR9/'Raw Cost Data'!$AX9)</f>
        <v>7.9702874367531484E-2</v>
      </c>
      <c r="F75" s="759">
        <f>IF(ISBLANK('Raw Cost Data'!AS9),"",'Raw Cost Data'!AS9/'Raw Cost Data'!$AX9)</f>
        <v>0.11432446980299278</v>
      </c>
      <c r="G75" s="759">
        <f>IF(ISBLANK('Raw Cost Data'!AT9),"",'Raw Cost Data'!AT9/'Raw Cost Data'!$AX9)</f>
        <v>6.2439444504252345E-2</v>
      </c>
      <c r="H75" s="759">
        <f>IF(ISBLANK('Raw Cost Data'!AU9),"",'Raw Cost Data'!AU9/'Raw Cost Data'!$AX9)</f>
        <v>0.33076111529766389</v>
      </c>
      <c r="I75" s="759" t="str">
        <f>IF(ISBLANK('Raw Cost Data'!AV9),"",'Raw Cost Data'!AV9/'Raw Cost Data'!$AX9)</f>
        <v/>
      </c>
      <c r="J75" s="770">
        <f>IF(ISBLANK('Raw Cost Data'!AW9),"",'Raw Cost Data'!AW9/'Raw Cost Data'!$AX9)</f>
        <v>2.507051351060394E-2</v>
      </c>
    </row>
    <row r="76" spans="1:10">
      <c r="B76" s="769">
        <f>IF(ISBLANK('Raw Cost Data'!AO10),"",'Raw Cost Data'!AO10/'Raw Cost Data'!$AX10)</f>
        <v>5.9566787003610108E-2</v>
      </c>
      <c r="C76" s="759">
        <f>IF(ISBLANK('Raw Cost Data'!AP10),"",'Raw Cost Data'!AP10/'Raw Cost Data'!$AX10)</f>
        <v>6.5162454873646206E-2</v>
      </c>
      <c r="D76" s="759">
        <f>IF(ISBLANK('Raw Cost Data'!AQ10),"",'Raw Cost Data'!AQ10/'Raw Cost Data'!$AX10)</f>
        <v>7.0397111913357402E-2</v>
      </c>
      <c r="E76" s="759">
        <f>IF(ISBLANK('Raw Cost Data'!AR10),"",'Raw Cost Data'!AR10/'Raw Cost Data'!$AX10)</f>
        <v>9.6592960288808663E-2</v>
      </c>
      <c r="F76" s="759">
        <f>IF(ISBLANK('Raw Cost Data'!AS10),"",'Raw Cost Data'!AS10/'Raw Cost Data'!$AX10)</f>
        <v>5.4151624548736461E-2</v>
      </c>
      <c r="G76" s="759">
        <f>IF(ISBLANK('Raw Cost Data'!AT10),"",'Raw Cost Data'!AT10/'Raw Cost Data'!$AX10)</f>
        <v>4.5126353790613721E-2</v>
      </c>
      <c r="H76" s="759" t="str">
        <f>IF(ISBLANK('Raw Cost Data'!AU10),"",'Raw Cost Data'!AU10/'Raw Cost Data'!$AX10)</f>
        <v/>
      </c>
      <c r="I76" s="759" t="str">
        <f>IF(ISBLANK('Raw Cost Data'!AV10),"",'Raw Cost Data'!AV10/'Raw Cost Data'!$AX10)</f>
        <v/>
      </c>
      <c r="J76" s="770">
        <f>IF(ISBLANK('Raw Cost Data'!AW10),"",'Raw Cost Data'!AW10/'Raw Cost Data'!$AX10)</f>
        <v>0.60900270758122743</v>
      </c>
    </row>
    <row r="77" spans="1:10">
      <c r="B77" s="769" t="str">
        <f>IF(ISBLANK('Raw Cost Data'!AO11),"",'Raw Cost Data'!AO11/'Raw Cost Data'!$AX11)</f>
        <v/>
      </c>
      <c r="C77" s="759" t="str">
        <f>IF(ISBLANK('Raw Cost Data'!AP11),"",'Raw Cost Data'!AP11/'Raw Cost Data'!$AX11)</f>
        <v/>
      </c>
      <c r="D77" s="759" t="str">
        <f>IF(ISBLANK('Raw Cost Data'!AQ11),"",'Raw Cost Data'!AQ11/'Raw Cost Data'!$AX11)</f>
        <v/>
      </c>
      <c r="E77" s="759" t="str">
        <f>IF(ISBLANK('Raw Cost Data'!AR11),"",'Raw Cost Data'!AR11/'Raw Cost Data'!$AX11)</f>
        <v/>
      </c>
      <c r="F77" s="759" t="str">
        <f>IF(ISBLANK('Raw Cost Data'!AS11),"",'Raw Cost Data'!AS11/'Raw Cost Data'!$AX11)</f>
        <v/>
      </c>
      <c r="G77" s="759" t="str">
        <f>IF(ISBLANK('Raw Cost Data'!AT11),"",'Raw Cost Data'!AT11/'Raw Cost Data'!$AX11)</f>
        <v/>
      </c>
      <c r="H77" s="759" t="str">
        <f>IF(ISBLANK('Raw Cost Data'!AU11),"",'Raw Cost Data'!AU11/'Raw Cost Data'!$AX11)</f>
        <v/>
      </c>
      <c r="I77" s="759" t="str">
        <f>IF(ISBLANK('Raw Cost Data'!AV11),"",'Raw Cost Data'!AV11/'Raw Cost Data'!$AX11)</f>
        <v/>
      </c>
      <c r="J77" s="770" t="str">
        <f>IF(ISBLANK('Raw Cost Data'!AW11),"",'Raw Cost Data'!AW11/'Raw Cost Data'!$AX11)</f>
        <v/>
      </c>
    </row>
    <row r="78" spans="1:10">
      <c r="B78" s="769">
        <f>IF(ISBLANK('Raw Cost Data'!AO12),"",'Raw Cost Data'!AO12/'Raw Cost Data'!$AX12)</f>
        <v>0.12950449594490851</v>
      </c>
      <c r="C78" s="759">
        <f>IF(ISBLANK('Raw Cost Data'!AP12),"",'Raw Cost Data'!AP12/'Raw Cost Data'!$AX12)</f>
        <v>0.19112136390930581</v>
      </c>
      <c r="D78" s="759">
        <f>IF(ISBLANK('Raw Cost Data'!AQ12),"",'Raw Cost Data'!AQ12/'Raw Cost Data'!$AX12)</f>
        <v>9.2077559800247788E-2</v>
      </c>
      <c r="E78" s="759">
        <f>IF(ISBLANK('Raw Cost Data'!AR12),"",'Raw Cost Data'!AR12/'Raw Cost Data'!$AX12)</f>
        <v>6.5253908773743379E-3</v>
      </c>
      <c r="F78" s="759">
        <f>IF(ISBLANK('Raw Cost Data'!AS12),"",'Raw Cost Data'!AS12/'Raw Cost Data'!$AX12)</f>
        <v>9.3491331149335305E-2</v>
      </c>
      <c r="G78" s="759">
        <f>IF(ISBLANK('Raw Cost Data'!AT12),"",'Raw Cost Data'!AT12/'Raw Cost Data'!$AX12)</f>
        <v>6.0807369853226212E-2</v>
      </c>
      <c r="H78" s="759" t="str">
        <f>IF(ISBLANK('Raw Cost Data'!AU12),"",'Raw Cost Data'!AU12/'Raw Cost Data'!$AX12)</f>
        <v/>
      </c>
      <c r="I78" s="759">
        <f>IF(ISBLANK('Raw Cost Data'!AV12),"",'Raw Cost Data'!AV12/'Raw Cost Data'!$AX12)</f>
        <v>0.37625320188806882</v>
      </c>
      <c r="J78" s="770">
        <f>IF(ISBLANK('Raw Cost Data'!AW12),"",'Raw Cost Data'!AW12/'Raw Cost Data'!$AX12)</f>
        <v>5.0219286577533197E-2</v>
      </c>
    </row>
    <row r="79" spans="1:10">
      <c r="B79" s="769" t="str">
        <f>IF(ISBLANK('Raw Cost Data'!AO13),"",'Raw Cost Data'!AO13/'Raw Cost Data'!$AX13)</f>
        <v/>
      </c>
      <c r="C79" s="759" t="str">
        <f>IF(ISBLANK('Raw Cost Data'!AP13),"",'Raw Cost Data'!AP13/'Raw Cost Data'!$AX13)</f>
        <v/>
      </c>
      <c r="D79" s="759" t="str">
        <f>IF(ISBLANK('Raw Cost Data'!AQ13),"",'Raw Cost Data'!AQ13/'Raw Cost Data'!$AX13)</f>
        <v/>
      </c>
      <c r="E79" s="759" t="str">
        <f>IF(ISBLANK('Raw Cost Data'!AR13),"",'Raw Cost Data'!AR13/'Raw Cost Data'!$AX13)</f>
        <v/>
      </c>
      <c r="F79" s="759" t="str">
        <f>IF(ISBLANK('Raw Cost Data'!AS13),"",'Raw Cost Data'!AS13/'Raw Cost Data'!$AX13)</f>
        <v/>
      </c>
      <c r="G79" s="759" t="str">
        <f>IF(ISBLANK('Raw Cost Data'!AT13),"",'Raw Cost Data'!AT13/'Raw Cost Data'!$AX13)</f>
        <v/>
      </c>
      <c r="H79" s="759" t="str">
        <f>IF(ISBLANK('Raw Cost Data'!AU13),"",'Raw Cost Data'!AU13/'Raw Cost Data'!$AX13)</f>
        <v/>
      </c>
      <c r="I79" s="759" t="str">
        <f>IF(ISBLANK('Raw Cost Data'!AV13),"",'Raw Cost Data'!AV13/'Raw Cost Data'!$AX13)</f>
        <v/>
      </c>
      <c r="J79" s="770" t="str">
        <f>IF(ISBLANK('Raw Cost Data'!AW13),"",'Raw Cost Data'!AW13/'Raw Cost Data'!$AX13)</f>
        <v/>
      </c>
    </row>
    <row r="80" spans="1:10">
      <c r="B80" s="769" t="str">
        <f>IF(ISBLANK('Raw Cost Data'!AO14),"",'Raw Cost Data'!AO14/'Raw Cost Data'!$AX14)</f>
        <v/>
      </c>
      <c r="C80" s="759" t="str">
        <f>IF(ISBLANK('Raw Cost Data'!AP14),"",'Raw Cost Data'!AP14/'Raw Cost Data'!$AX14)</f>
        <v/>
      </c>
      <c r="D80" s="759" t="str">
        <f>IF(ISBLANK('Raw Cost Data'!AQ14),"",'Raw Cost Data'!AQ14/'Raw Cost Data'!$AX14)</f>
        <v/>
      </c>
      <c r="E80" s="759" t="str">
        <f>IF(ISBLANK('Raw Cost Data'!AR14),"",'Raw Cost Data'!AR14/'Raw Cost Data'!$AX14)</f>
        <v/>
      </c>
      <c r="F80" s="759" t="str">
        <f>IF(ISBLANK('Raw Cost Data'!AS14),"",'Raw Cost Data'!AS14/'Raw Cost Data'!$AX14)</f>
        <v/>
      </c>
      <c r="G80" s="759" t="str">
        <f>IF(ISBLANK('Raw Cost Data'!AT14),"",'Raw Cost Data'!AT14/'Raw Cost Data'!$AX14)</f>
        <v/>
      </c>
      <c r="H80" s="759" t="str">
        <f>IF(ISBLANK('Raw Cost Data'!AU14),"",'Raw Cost Data'!AU14/'Raw Cost Data'!$AX14)</f>
        <v/>
      </c>
      <c r="I80" s="759" t="str">
        <f>IF(ISBLANK('Raw Cost Data'!AV14),"",'Raw Cost Data'!AV14/'Raw Cost Data'!$AX14)</f>
        <v/>
      </c>
      <c r="J80" s="770" t="str">
        <f>IF(ISBLANK('Raw Cost Data'!AW14),"",'Raw Cost Data'!AW14/'Raw Cost Data'!$AX14)</f>
        <v/>
      </c>
    </row>
    <row r="81" spans="2:10">
      <c r="B81" s="769" t="str">
        <f>IF(ISBLANK('Raw Cost Data'!AO15),"",'Raw Cost Data'!AO15/'Raw Cost Data'!$AX15)</f>
        <v/>
      </c>
      <c r="C81" s="759">
        <f>IF(ISBLANK('Raw Cost Data'!AP15),"",'Raw Cost Data'!AP15/'Raw Cost Data'!$AX15)</f>
        <v>0.14798712428410182</v>
      </c>
      <c r="D81" s="759">
        <f>IF(ISBLANK('Raw Cost Data'!AQ15),"",'Raw Cost Data'!AQ15/'Raw Cost Data'!$AX15)</f>
        <v>7.712888257179884E-2</v>
      </c>
      <c r="E81" s="759">
        <f>IF(ISBLANK('Raw Cost Data'!AR15),"",'Raw Cost Data'!AR15/'Raw Cost Data'!$AX15)</f>
        <v>0.1365745579198194</v>
      </c>
      <c r="F81" s="759">
        <f>IF(ISBLANK('Raw Cost Data'!AS15),"",'Raw Cost Data'!AS15/'Raw Cost Data'!$AX15)</f>
        <v>6.4922035031980269E-2</v>
      </c>
      <c r="G81" s="759">
        <f>IF(ISBLANK('Raw Cost Data'!AT15),"",'Raw Cost Data'!AT15/'Raw Cost Data'!$AX15)</f>
        <v>6.4922035031980269E-2</v>
      </c>
      <c r="H81" s="759" t="str">
        <f>IF(ISBLANK('Raw Cost Data'!AU15),"",'Raw Cost Data'!AU15/'Raw Cost Data'!$AX15)</f>
        <v/>
      </c>
      <c r="I81" s="759">
        <f>IF(ISBLANK('Raw Cost Data'!AV15),"",'Raw Cost Data'!AV15/'Raw Cost Data'!$AX15)</f>
        <v>9.8114627314911579E-2</v>
      </c>
      <c r="J81" s="770">
        <f>IF(ISBLANK('Raw Cost Data'!AW15),"",'Raw Cost Data'!AW15/'Raw Cost Data'!$AX15)</f>
        <v>0.41035073784540782</v>
      </c>
    </row>
    <row r="82" spans="2:10">
      <c r="B82" s="769">
        <f>IF(ISBLANK('Raw Cost Data'!AO16),"",'Raw Cost Data'!AO16/'Raw Cost Data'!$AX16)</f>
        <v>0.21558726673984632</v>
      </c>
      <c r="C82" s="759">
        <f>IF(ISBLANK('Raw Cost Data'!AP16),"",'Raw Cost Data'!AP16/'Raw Cost Data'!$AX16)</f>
        <v>0.16909989023051591</v>
      </c>
      <c r="D82" s="759">
        <f>IF(ISBLANK('Raw Cost Data'!AQ16),"",'Raw Cost Data'!AQ16/'Raw Cost Data'!$AX16)</f>
        <v>7.9034028540065859E-2</v>
      </c>
      <c r="E82" s="759" t="str">
        <f>IF(ISBLANK('Raw Cost Data'!AR16),"",'Raw Cost Data'!AR16/'Raw Cost Data'!$AX16)</f>
        <v/>
      </c>
      <c r="F82" s="759">
        <f>IF(ISBLANK('Raw Cost Data'!AS16),"",'Raw Cost Data'!AS16/'Raw Cost Data'!$AX16)</f>
        <v>0.20417124039517015</v>
      </c>
      <c r="G82" s="759">
        <f>IF(ISBLANK('Raw Cost Data'!AT16),"",'Raw Cost Data'!AT16/'Raw Cost Data'!$AX16)</f>
        <v>5.4884742041712405E-2</v>
      </c>
      <c r="H82" s="759" t="str">
        <f>IF(ISBLANK('Raw Cost Data'!AU16),"",'Raw Cost Data'!AU16/'Raw Cost Data'!$AX16)</f>
        <v/>
      </c>
      <c r="I82" s="759">
        <f>IF(ISBLANK('Raw Cost Data'!AV16),"",'Raw Cost Data'!AV16/'Raw Cost Data'!$AX16)</f>
        <v>1.8111964873765093E-2</v>
      </c>
      <c r="J82" s="770">
        <f>IF(ISBLANK('Raw Cost Data'!AW16),"",'Raw Cost Data'!AW16/'Raw Cost Data'!$AX16)</f>
        <v>0.25911086717892429</v>
      </c>
    </row>
    <row r="83" spans="2:10">
      <c r="B83" s="769">
        <f>IF(ISBLANK('Raw Cost Data'!AO17),"",'Raw Cost Data'!AO17/'Raw Cost Data'!$AX17)</f>
        <v>0.17846294046172539</v>
      </c>
      <c r="C83" s="759">
        <f>IF(ISBLANK('Raw Cost Data'!AP17),"",'Raw Cost Data'!AP17/'Raw Cost Data'!$AX17)</f>
        <v>0.37970838396111783</v>
      </c>
      <c r="D83" s="759">
        <f>IF(ISBLANK('Raw Cost Data'!AQ17),"",'Raw Cost Data'!AQ17/'Raw Cost Data'!$AX17)</f>
        <v>7.0878898339408664E-2</v>
      </c>
      <c r="E83" s="759">
        <f>IF(ISBLANK('Raw Cost Data'!AR17),"",'Raw Cost Data'!AR17/'Raw Cost Data'!$AX17)</f>
        <v>9.0724989874443093E-2</v>
      </c>
      <c r="F83" s="759">
        <f>IF(ISBLANK('Raw Cost Data'!AS17),"",'Raw Cost Data'!AS17/'Raw Cost Data'!$AX17)</f>
        <v>0.11543134872417983</v>
      </c>
      <c r="G83" s="759">
        <f>IF(ISBLANK('Raw Cost Data'!AT17),"",'Raw Cost Data'!AT17/'Raw Cost Data'!$AX17)</f>
        <v>5.0627784528149047E-2</v>
      </c>
      <c r="H83" s="759" t="str">
        <f>IF(ISBLANK('Raw Cost Data'!AU17),"",'Raw Cost Data'!AU17/'Raw Cost Data'!$AX17)</f>
        <v/>
      </c>
      <c r="I83" s="759">
        <f>IF(ISBLANK('Raw Cost Data'!AV17),"",'Raw Cost Data'!AV17/'Raw Cost Data'!$AX17)</f>
        <v>1.6707168894289186E-2</v>
      </c>
      <c r="J83" s="770">
        <f>IF(ISBLANK('Raw Cost Data'!AW17),"",'Raw Cost Data'!AW17/'Raw Cost Data'!$AX17)</f>
        <v>9.7458485216686916E-2</v>
      </c>
    </row>
    <row r="84" spans="2:10">
      <c r="B84" s="769">
        <f>IF(ISBLANK('Raw Cost Data'!AO18),"",'Raw Cost Data'!AO18/'Raw Cost Data'!$AX18)</f>
        <v>0.14581768370818787</v>
      </c>
      <c r="C84" s="759">
        <f>IF(ISBLANK('Raw Cost Data'!AP18),"",'Raw Cost Data'!AP18/'Raw Cost Data'!$AX18)</f>
        <v>0.1348150766647519</v>
      </c>
      <c r="D84" s="759" t="str">
        <f>IF(ISBLANK('Raw Cost Data'!AQ18),"",'Raw Cost Data'!AQ18/'Raw Cost Data'!$AX18)</f>
        <v/>
      </c>
      <c r="E84" s="759">
        <f>IF(ISBLANK('Raw Cost Data'!AR18),"",'Raw Cost Data'!AR18/'Raw Cost Data'!$AX18)</f>
        <v>8.1746277230347747E-2</v>
      </c>
      <c r="F84" s="759">
        <f>IF(ISBLANK('Raw Cost Data'!AS18),"",'Raw Cost Data'!AS18/'Raw Cost Data'!$AX18)</f>
        <v>0.10604922451504574</v>
      </c>
      <c r="G84" s="759">
        <f>IF(ISBLANK('Raw Cost Data'!AT18),"",'Raw Cost Data'!AT18/'Raw Cost Data'!$AX18)</f>
        <v>0.16570191330475895</v>
      </c>
      <c r="H84" s="759" t="str">
        <f>IF(ISBLANK('Raw Cost Data'!AU18),"",'Raw Cost Data'!AU18/'Raw Cost Data'!$AX18)</f>
        <v/>
      </c>
      <c r="I84" s="759" t="str">
        <f>IF(ISBLANK('Raw Cost Data'!AV18),"",'Raw Cost Data'!AV18/'Raw Cost Data'!$AX18)</f>
        <v/>
      </c>
      <c r="J84" s="770">
        <f>IF(ISBLANK('Raw Cost Data'!AW18),"",'Raw Cost Data'!AW18/'Raw Cost Data'!$AX18)</f>
        <v>0.36586982457690775</v>
      </c>
    </row>
    <row r="85" spans="2:10">
      <c r="B85" s="769" t="str">
        <f>IF(ISBLANK('Raw Cost Data'!AO19),"",'Raw Cost Data'!AO19/'Raw Cost Data'!$AX19)</f>
        <v/>
      </c>
      <c r="C85" s="759" t="str">
        <f>IF(ISBLANK('Raw Cost Data'!AP19),"",'Raw Cost Data'!AP19/'Raw Cost Data'!$AX19)</f>
        <v/>
      </c>
      <c r="D85" s="759" t="str">
        <f>IF(ISBLANK('Raw Cost Data'!AQ19),"",'Raw Cost Data'!AQ19/'Raw Cost Data'!$AX19)</f>
        <v/>
      </c>
      <c r="E85" s="759" t="str">
        <f>IF(ISBLANK('Raw Cost Data'!AR19),"",'Raw Cost Data'!AR19/'Raw Cost Data'!$AX19)</f>
        <v/>
      </c>
      <c r="F85" s="759" t="str">
        <f>IF(ISBLANK('Raw Cost Data'!AS19),"",'Raw Cost Data'!AS19/'Raw Cost Data'!$AX19)</f>
        <v/>
      </c>
      <c r="G85" s="759" t="str">
        <f>IF(ISBLANK('Raw Cost Data'!AT19),"",'Raw Cost Data'!AT19/'Raw Cost Data'!$AX19)</f>
        <v/>
      </c>
      <c r="H85" s="759" t="str">
        <f>IF(ISBLANK('Raw Cost Data'!AU19),"",'Raw Cost Data'!AU19/'Raw Cost Data'!$AX19)</f>
        <v/>
      </c>
      <c r="I85" s="759" t="str">
        <f>IF(ISBLANK('Raw Cost Data'!AV19),"",'Raw Cost Data'!BG19/'Raw Cost Data'!$AX19)</f>
        <v/>
      </c>
      <c r="J85" s="770" t="str">
        <f>IF(ISBLANK('Raw Cost Data'!AW19),"",'Raw Cost Data'!AW19/'Raw Cost Data'!$AX19)</f>
        <v/>
      </c>
    </row>
    <row r="86" spans="2:10">
      <c r="B86" s="769">
        <f>IF(ISBLANK('Raw Cost Data'!AO20),"",'Raw Cost Data'!AO20/'Raw Cost Data'!$AX20)</f>
        <v>5.2599055087216427E-2</v>
      </c>
      <c r="C86" s="759">
        <f>IF(ISBLANK('Raw Cost Data'!AP20),"",'Raw Cost Data'!AP20/'Raw Cost Data'!$AX20)</f>
        <v>5.5694271125666855E-2</v>
      </c>
      <c r="D86" s="759">
        <f>IF(ISBLANK('Raw Cost Data'!AQ20),"",'Raw Cost Data'!AQ20/'Raw Cost Data'!$AX20)</f>
        <v>7.8470265763532027E-2</v>
      </c>
      <c r="E86" s="759" t="str">
        <f>IF(ISBLANK('Raw Cost Data'!AR20),"",'Raw Cost Data'!AR20/'Raw Cost Data'!$AX20)</f>
        <v/>
      </c>
      <c r="F86" s="759" t="str">
        <f>IF(ISBLANK('Raw Cost Data'!AS20),"",'Raw Cost Data'!AS20/'Raw Cost Data'!$AX20)</f>
        <v/>
      </c>
      <c r="G86" s="759" t="str">
        <f>IF(ISBLANK('Raw Cost Data'!AT20),"",'Raw Cost Data'!AT20/'Raw Cost Data'!$AX20)</f>
        <v/>
      </c>
      <c r="H86" s="759" t="str">
        <f>IF(ISBLANK('Raw Cost Data'!AU20),"",'Raw Cost Data'!AU20/'Raw Cost Data'!$AX20)</f>
        <v/>
      </c>
      <c r="I86" s="759">
        <f>IF(ISBLANK('Raw Cost Data'!AV20),"",'Raw Cost Data'!AV20/'Raw Cost Data'!$AX20)</f>
        <v>0.81323640802358466</v>
      </c>
      <c r="J86" s="770" t="str">
        <f>IF(ISBLANK('Raw Cost Data'!AW20),"",'Raw Cost Data'!AW20/'Raw Cost Data'!$AX20)</f>
        <v/>
      </c>
    </row>
    <row r="87" spans="2:10">
      <c r="B87" s="769">
        <f>IF(ISBLANK('Raw Cost Data'!AO21),"",'Raw Cost Data'!AO21/'Raw Cost Data'!$AX21)</f>
        <v>0.20792763381439749</v>
      </c>
      <c r="C87" s="759">
        <f>IF(ISBLANK('Raw Cost Data'!AP21),"",'Raw Cost Data'!AP21/'Raw Cost Data'!$AX21)</f>
        <v>5.98162182020281E-2</v>
      </c>
      <c r="D87" s="759">
        <f>IF(ISBLANK('Raw Cost Data'!AQ21),"",'Raw Cost Data'!AQ21/'Raw Cost Data'!$AX21)</f>
        <v>8.0741801847506997E-2</v>
      </c>
      <c r="E87" s="759" t="str">
        <f>IF(ISBLANK('Raw Cost Data'!AR21),"",'Raw Cost Data'!AR21/'Raw Cost Data'!$AX21)</f>
        <v/>
      </c>
      <c r="F87" s="759" t="str">
        <f>IF(ISBLANK('Raw Cost Data'!AS21),"",'Raw Cost Data'!AS21/'Raw Cost Data'!$AX21)</f>
        <v/>
      </c>
      <c r="G87" s="759" t="str">
        <f>IF(ISBLANK('Raw Cost Data'!AT21),"",'Raw Cost Data'!AT21/'Raw Cost Data'!$AX21)</f>
        <v/>
      </c>
      <c r="H87" s="759" t="str">
        <f>IF(ISBLANK('Raw Cost Data'!AU21),"",'Raw Cost Data'!AU21/'Raw Cost Data'!$AX21)</f>
        <v/>
      </c>
      <c r="I87" s="759">
        <f>IF(ISBLANK('Raw Cost Data'!AV21),"",'Raw Cost Data'!AV21/'Raw Cost Data'!$AX21)</f>
        <v>0.6515143461360674</v>
      </c>
      <c r="J87" s="770" t="str">
        <f>IF(ISBLANK('Raw Cost Data'!AW21),"",'Raw Cost Data'!AW21/'Raw Cost Data'!$AX21)</f>
        <v/>
      </c>
    </row>
    <row r="88" spans="2:10">
      <c r="B88" s="769">
        <f>IF(ISBLANK('Raw Cost Data'!AO22),"",'Raw Cost Data'!AO22/'Raw Cost Data'!$AX22)</f>
        <v>5.4828580991696019E-2</v>
      </c>
      <c r="C88" s="759" t="str">
        <f>IF(ISBLANK('Raw Cost Data'!AP22),"",'Raw Cost Data'!AP22/'Raw Cost Data'!$AX22)</f>
        <v/>
      </c>
      <c r="D88" s="759">
        <f>IF(ISBLANK('Raw Cost Data'!AQ22),"",'Raw Cost Data'!AQ22/'Raw Cost Data'!$AX22)</f>
        <v>0.39176933743485121</v>
      </c>
      <c r="E88" s="759" t="str">
        <f>IF(ISBLANK('Raw Cost Data'!AR22),"",'Raw Cost Data'!AR22/'Raw Cost Data'!$AX22)</f>
        <v/>
      </c>
      <c r="F88" s="759" t="str">
        <f>IF(ISBLANK('Raw Cost Data'!AS22),"",'Raw Cost Data'!AS22/'Raw Cost Data'!$AX22)</f>
        <v/>
      </c>
      <c r="G88" s="759" t="str">
        <f>IF(ISBLANK('Raw Cost Data'!AT22),"",'Raw Cost Data'!AT22/'Raw Cost Data'!$AX22)</f>
        <v/>
      </c>
      <c r="H88" s="759" t="str">
        <f>IF(ISBLANK('Raw Cost Data'!AU22),"",'Raw Cost Data'!AU22/'Raw Cost Data'!$AX22)</f>
        <v/>
      </c>
      <c r="I88" s="759">
        <f>IF(ISBLANK('Raw Cost Data'!AV22),"",'Raw Cost Data'!AV22/'Raw Cost Data'!$AX22)</f>
        <v>0.55340208157345272</v>
      </c>
      <c r="J88" s="770" t="str">
        <f>IF(ISBLANK('Raw Cost Data'!AW22),"",'Raw Cost Data'!AW22/'Raw Cost Data'!$AX22)</f>
        <v/>
      </c>
    </row>
    <row r="89" spans="2:10">
      <c r="B89" s="769">
        <f>IF(ISBLANK('Raw Cost Data'!AO23),"",'Raw Cost Data'!AO23/'Raw Cost Data'!$AX23)</f>
        <v>1.9435000525743928E-2</v>
      </c>
      <c r="C89" s="759">
        <f>IF(ISBLANK('Raw Cost Data'!AP23),"",'Raw Cost Data'!AP23/'Raw Cost Data'!$AX23)</f>
        <v>7.8791489958290981E-2</v>
      </c>
      <c r="D89" s="759">
        <f>IF(ISBLANK('Raw Cost Data'!AQ23),"",'Raw Cost Data'!AQ23/'Raw Cost Data'!$AX23)</f>
        <v>0.1325926185552557</v>
      </c>
      <c r="E89" s="759" t="str">
        <f>IF(ISBLANK('Raw Cost Data'!AR23),"",'Raw Cost Data'!AR23/'Raw Cost Data'!$AX23)</f>
        <v/>
      </c>
      <c r="F89" s="759" t="str">
        <f>IF(ISBLANK('Raw Cost Data'!AS23),"",'Raw Cost Data'!AS23/'Raw Cost Data'!$AX23)</f>
        <v/>
      </c>
      <c r="G89" s="759" t="str">
        <f>IF(ISBLANK('Raw Cost Data'!AT23),"",'Raw Cost Data'!AT23/'Raw Cost Data'!$AX23)</f>
        <v/>
      </c>
      <c r="H89" s="759" t="str">
        <f>IF(ISBLANK('Raw Cost Data'!AU23),"",'Raw Cost Data'!AU23/'Raw Cost Data'!$AX23)</f>
        <v/>
      </c>
      <c r="I89" s="759">
        <f>IF(ISBLANK('Raw Cost Data'!AV23),"",'Raw Cost Data'!AV23/'Raw Cost Data'!$AX23)</f>
        <v>0.76918089096070941</v>
      </c>
      <c r="J89" s="770" t="str">
        <f>IF(ISBLANK('Raw Cost Data'!AW23),"",'Raw Cost Data'!AW23/'Raw Cost Data'!$AX23)</f>
        <v/>
      </c>
    </row>
    <row r="90" spans="2:10">
      <c r="B90" s="769">
        <f>IF(ISBLANK('Raw Cost Data'!AO24),"",'Raw Cost Data'!AO24/'Raw Cost Data'!$AX24)</f>
        <v>0.16370106761565836</v>
      </c>
      <c r="C90" s="759">
        <f>IF(ISBLANK('Raw Cost Data'!AP24),"",'Raw Cost Data'!AP24/'Raw Cost Data'!$AX24)</f>
        <v>4.2704626334519574E-2</v>
      </c>
      <c r="D90" s="759">
        <f>IF(ISBLANK('Raw Cost Data'!AQ24),"",'Raw Cost Data'!AQ24/'Raw Cost Data'!$AX24)</f>
        <v>0.11601423487544484</v>
      </c>
      <c r="E90" s="759">
        <f>IF(ISBLANK('Raw Cost Data'!AR24),"",'Raw Cost Data'!AR24/'Raw Cost Data'!$AX24)</f>
        <v>7.8291814946619215E-2</v>
      </c>
      <c r="F90" s="759">
        <f>IF(ISBLANK('Raw Cost Data'!AS24),"",'Raw Cost Data'!AS24/'Raw Cost Data'!$AX24)</f>
        <v>0.24911032028469751</v>
      </c>
      <c r="G90" s="759">
        <f>IF(ISBLANK('Raw Cost Data'!AT24),"",'Raw Cost Data'!AT24/'Raw Cost Data'!$AX24)</f>
        <v>3.7010676156583627E-2</v>
      </c>
      <c r="H90" s="759" t="str">
        <f>IF(ISBLANK('Raw Cost Data'!AU24),"",'Raw Cost Data'!AU24/'Raw Cost Data'!$AX24)</f>
        <v/>
      </c>
      <c r="I90" s="759">
        <f>IF(ISBLANK('Raw Cost Data'!AV24),"",'Raw Cost Data'!AV24/'Raw Cost Data'!$AX24)</f>
        <v>0.31316725978647686</v>
      </c>
      <c r="J90" s="770" t="str">
        <f>IF(ISBLANK('Raw Cost Data'!AW24),"",'Raw Cost Data'!AW24/'Raw Cost Data'!$AX24)</f>
        <v/>
      </c>
    </row>
    <row r="91" spans="2:10">
      <c r="B91" s="769">
        <f>IF(ISBLANK('Raw Cost Data'!AO25),"",'Raw Cost Data'!AO25/'Raw Cost Data'!$AX25)</f>
        <v>0.34812880765883375</v>
      </c>
      <c r="C91" s="759">
        <f>IF(ISBLANK('Raw Cost Data'!AP25),"",'Raw Cost Data'!AP25/'Raw Cost Data'!$AX25)</f>
        <v>8.3550913838120106E-2</v>
      </c>
      <c r="D91" s="759">
        <f>IF(ISBLANK('Raw Cost Data'!AQ25),"",'Raw Cost Data'!AQ25/'Raw Cost Data'!$AX25)</f>
        <v>0</v>
      </c>
      <c r="E91" s="759">
        <f>IF(ISBLANK('Raw Cost Data'!AR25),"",'Raw Cost Data'!AR25/'Raw Cost Data'!$AX25)</f>
        <v>0.18015665796344649</v>
      </c>
      <c r="F91" s="759">
        <f>IF(ISBLANK('Raw Cost Data'!AS25),"",'Raw Cost Data'!AS25/'Raw Cost Data'!$AX25)</f>
        <v>8.7032201914708437E-2</v>
      </c>
      <c r="G91" s="759">
        <f>IF(ISBLANK('Raw Cost Data'!AT25),"",'Raw Cost Data'!AT25/'Raw Cost Data'!$AX25)</f>
        <v>4.8738033072236731E-2</v>
      </c>
      <c r="H91" s="759" t="str">
        <f>IF(ISBLANK('Raw Cost Data'!AU25),"",'Raw Cost Data'!AU25/'Raw Cost Data'!$AX25)</f>
        <v/>
      </c>
      <c r="I91" s="759">
        <f>IF(ISBLANK('Raw Cost Data'!AV25),"",'Raw Cost Data'!AV25/'Raw Cost Data'!$AX25)</f>
        <v>0.2523933855526545</v>
      </c>
      <c r="J91" s="770" t="str">
        <f>IF(ISBLANK('Raw Cost Data'!AW25),"",'Raw Cost Data'!AW25/'Raw Cost Data'!$AX25)</f>
        <v/>
      </c>
    </row>
    <row r="92" spans="2:10">
      <c r="B92" s="769">
        <f>IF(ISBLANK('Raw Cost Data'!AO37),"",'Raw Cost Data'!AO37/'Raw Cost Data'!$AX37)</f>
        <v>0.12143834298167303</v>
      </c>
      <c r="C92" s="759">
        <f>IF(ISBLANK('Raw Cost Data'!AP37),"",'Raw Cost Data'!AP37/'Raw Cost Data'!$AX37)</f>
        <v>7.9310887406843972E-2</v>
      </c>
      <c r="D92" s="759">
        <f>IF(ISBLANK('Raw Cost Data'!AQ37),"",'Raw Cost Data'!AQ37/'Raw Cost Data'!$AX37)</f>
        <v>0.17552652294564774</v>
      </c>
      <c r="E92" s="759">
        <f>IF(ISBLANK('Raw Cost Data'!AR37),"",'Raw Cost Data'!AR37/'Raw Cost Data'!$AX37)</f>
        <v>0.18745612084893135</v>
      </c>
      <c r="F92" s="759">
        <f>IF(ISBLANK('Raw Cost Data'!AS37),"",'Raw Cost Data'!AS37/'Raw Cost Data'!$AX37)</f>
        <v>0.2024009651991</v>
      </c>
      <c r="G92" s="759" t="str">
        <f>IF(ISBLANK('Raw Cost Data'!AT38),"",'Raw Cost Data'!AT38/'Raw Cost Data'!$AX37)</f>
        <v/>
      </c>
      <c r="H92" s="759" t="str">
        <f>IF(ISBLANK('Raw Cost Data'!AU38),"",'Raw Cost Data'!AU38/'Raw Cost Data'!$AX37)</f>
        <v/>
      </c>
      <c r="I92" s="759" t="str">
        <f>IF(ISBLANK('Raw Cost Data'!AV38),"",'Raw Cost Data'!AV38/'Raw Cost Data'!$AX37)</f>
        <v/>
      </c>
      <c r="J92" s="770">
        <f>IF(ISBLANK('Raw Cost Data'!AW37),"",'Raw Cost Data'!AW37/'Raw Cost Data'!$AX37)</f>
        <v>0.23386716061780385</v>
      </c>
    </row>
    <row r="93" spans="2:10">
      <c r="B93" s="769">
        <f>IF(ISBLANK('Raw Cost Data'!AO27),"",'Raw Cost Data'!AO27/'Raw Cost Data'!$AX27)</f>
        <v>0.16065779194158461</v>
      </c>
      <c r="C93" s="759">
        <f>IF(ISBLANK('Raw Cost Data'!AP27),"",'Raw Cost Data'!AP27/'Raw Cost Data'!$AX27)</f>
        <v>9.5319497838042708E-2</v>
      </c>
      <c r="D93" s="759">
        <f>IF(ISBLANK('Raw Cost Data'!AQ27),"",'Raw Cost Data'!AQ27/'Raw Cost Data'!$AX27)</f>
        <v>0.24059219838955453</v>
      </c>
      <c r="E93" s="759">
        <f>IF(ISBLANK('Raw Cost Data'!AR27),"",'Raw Cost Data'!AR27/'Raw Cost Data'!$AX27)</f>
        <v>0.15733170380798417</v>
      </c>
      <c r="F93" s="759">
        <f>IF(ISBLANK('Raw Cost Data'!AS27),"",'Raw Cost Data'!AS27/'Raw Cost Data'!$AX27)</f>
        <v>0.17541634114835128</v>
      </c>
      <c r="G93" s="759" t="str">
        <f>IF(ISBLANK('Raw Cost Data'!AT27),"",'Raw Cost Data'!AT27/'Raw Cost Data'!$AX27)</f>
        <v/>
      </c>
      <c r="H93" s="759" t="str">
        <f>IF(ISBLANK('Raw Cost Data'!AU27),"",'Raw Cost Data'!AU27/'Raw Cost Data'!$AX27)</f>
        <v/>
      </c>
      <c r="I93" s="759" t="str">
        <f>IF(ISBLANK('Raw Cost Data'!AV27),"",'Raw Cost Data'!AV27/'Raw Cost Data'!$AX27)</f>
        <v/>
      </c>
      <c r="J93" s="770">
        <f>IF(ISBLANK('Raw Cost Data'!AW27),"",'Raw Cost Data'!AW27/'Raw Cost Data'!$AX27)</f>
        <v>0.17068246687448271</v>
      </c>
    </row>
    <row r="94" spans="2:10">
      <c r="B94" s="769">
        <f>IF(ISBLANK('Raw Cost Data'!AO28),"",'Raw Cost Data'!AO28/'Raw Cost Data'!$AX28)</f>
        <v>0.41863497237349445</v>
      </c>
      <c r="C94" s="759">
        <f>IF(ISBLANK('Raw Cost Data'!AP28),"",'Raw Cost Data'!AP28/'Raw Cost Data'!$AX28)</f>
        <v>6.2145724847954845E-2</v>
      </c>
      <c r="D94" s="759">
        <f>IF(ISBLANK('Raw Cost Data'!AQ28),"",'Raw Cost Data'!AQ28/'Raw Cost Data'!$AX28)</f>
        <v>0.19674841992288428</v>
      </c>
      <c r="E94" s="759">
        <f>IF(ISBLANK('Raw Cost Data'!AR28),"",'Raw Cost Data'!AR28/'Raw Cost Data'!$AX28)</f>
        <v>0.21832491950550542</v>
      </c>
      <c r="F94" s="759">
        <f>IF(ISBLANK('Raw Cost Data'!AS28),"",'Raw Cost Data'!AS28/'Raw Cost Data'!$AX28)</f>
        <v>9.1847199586596179E-2</v>
      </c>
      <c r="G94" s="759" t="str">
        <f>IF(ISBLANK('Raw Cost Data'!AT28),"",'Raw Cost Data'!AT28/'Raw Cost Data'!$AX28)</f>
        <v/>
      </c>
      <c r="H94" s="759" t="str">
        <f>IF(ISBLANK('Raw Cost Data'!AU28),"",'Raw Cost Data'!AU28/'Raw Cost Data'!$AX28)</f>
        <v/>
      </c>
      <c r="I94" s="759" t="str">
        <f>IF(ISBLANK('Raw Cost Data'!AV28),"",'Raw Cost Data'!AV28/'Raw Cost Data'!$AX28)</f>
        <v/>
      </c>
      <c r="J94" s="770">
        <f>IF(ISBLANK('Raw Cost Data'!AW28),"",'Raw Cost Data'!AW28/'Raw Cost Data'!$AX28)</f>
        <v>1.2298763763564813E-2</v>
      </c>
    </row>
    <row r="95" spans="2:10">
      <c r="B95" s="769">
        <f>IF(ISBLANK('Raw Cost Data'!AO29),"",'Raw Cost Data'!AO29/'Raw Cost Data'!$AX29)</f>
        <v>7.3109351751501683E-2</v>
      </c>
      <c r="C95" s="759">
        <f>IF(ISBLANK('Raw Cost Data'!AP29),"",'Raw Cost Data'!AP29/'Raw Cost Data'!$AX29)</f>
        <v>4.537800718847395E-2</v>
      </c>
      <c r="D95" s="759">
        <f>IF(ISBLANK('Raw Cost Data'!AQ29),"",'Raw Cost Data'!AQ29/'Raw Cost Data'!$AX29)</f>
        <v>0.18251621080475394</v>
      </c>
      <c r="E95" s="759">
        <f>IF(ISBLANK('Raw Cost Data'!AR29),"",'Raw Cost Data'!AR29/'Raw Cost Data'!$AX29)</f>
        <v>7.489116258564632E-2</v>
      </c>
      <c r="F95" s="759">
        <f>IF(ISBLANK('Raw Cost Data'!AS29),"",'Raw Cost Data'!AS29/'Raw Cost Data'!$AX29)</f>
        <v>0.46259115707489118</v>
      </c>
      <c r="G95" s="759" t="str">
        <f>IF(ISBLANK('Raw Cost Data'!AT30),"",'Raw Cost Data'!AT30/'Raw Cost Data'!$AX29)</f>
        <v/>
      </c>
      <c r="H95" s="759" t="str">
        <f>IF(ISBLANK('Raw Cost Data'!AU30),"",'Raw Cost Data'!AU30/'Raw Cost Data'!$AX29)</f>
        <v/>
      </c>
      <c r="I95" s="759" t="str">
        <f>IF(ISBLANK('Raw Cost Data'!AV30),"",'Raw Cost Data'!AV30/'Raw Cost Data'!$AX29)</f>
        <v/>
      </c>
      <c r="J95" s="770">
        <f>IF(ISBLANK('Raw Cost Data'!AW29),"",'Raw Cost Data'!AW29/'Raw Cost Data'!$AX29)</f>
        <v>0.16151411059473295</v>
      </c>
    </row>
    <row r="96" spans="2:10">
      <c r="B96" s="769">
        <f>IF(ISBLANK('Raw Cost Data'!AO30),"",'Raw Cost Data'!AO30/'Raw Cost Data'!$AX30)</f>
        <v>0.17507909190785559</v>
      </c>
      <c r="C96" s="759">
        <f>IF(ISBLANK('Raw Cost Data'!AP30),"",'Raw Cost Data'!AP30/'Raw Cost Data'!$AX30)</f>
        <v>0.22576244528452399</v>
      </c>
      <c r="D96" s="759">
        <f>IF(ISBLANK('Raw Cost Data'!AQ30),"",'Raw Cost Data'!AQ30/'Raw Cost Data'!$AX30)</f>
        <v>0.14931901575614764</v>
      </c>
      <c r="E96" s="759">
        <f>IF(ISBLANK('Raw Cost Data'!AR30),"",'Raw Cost Data'!AR30/'Raw Cost Data'!$AX30)</f>
        <v>6.4463396721190905E-2</v>
      </c>
      <c r="F96" s="759">
        <f>IF(ISBLANK('Raw Cost Data'!AS30),"",'Raw Cost Data'!AS30/'Raw Cost Data'!$AX30)</f>
        <v>0.36635368182687722</v>
      </c>
      <c r="G96" s="759" t="str">
        <f>IF(ISBLANK('Raw Cost Data'!AT31),"",'Raw Cost Data'!AT31/'Raw Cost Data'!$AX30)</f>
        <v/>
      </c>
      <c r="H96" s="759" t="str">
        <f>IF(ISBLANK('Raw Cost Data'!AU31),"",'Raw Cost Data'!AU31/'Raw Cost Data'!$AX30)</f>
        <v/>
      </c>
      <c r="I96" s="759" t="str">
        <f>IF(ISBLANK('Raw Cost Data'!AV31),"",'Raw Cost Data'!AV31/'Raw Cost Data'!$AX30)</f>
        <v/>
      </c>
      <c r="J96" s="770">
        <f>IF(ISBLANK('Raw Cost Data'!AW30),"",'Raw Cost Data'!AW30/'Raw Cost Data'!$AX30)</f>
        <v>1.9022368503404656E-2</v>
      </c>
    </row>
    <row r="97" spans="1:10">
      <c r="B97" s="769">
        <f>IF(ISBLANK('Raw Cost Data'!AO31),"",'Raw Cost Data'!AO31/'Raw Cost Data'!$AX31)</f>
        <v>5.8421122344828165E-2</v>
      </c>
      <c r="C97" s="759">
        <f>IF(ISBLANK('Raw Cost Data'!AP31),"",'Raw Cost Data'!AP31/'Raw Cost Data'!$AX31)</f>
        <v>7.4117959423166721E-2</v>
      </c>
      <c r="D97" s="759">
        <f>IF(ISBLANK('Raw Cost Data'!AQ31),"",'Raw Cost Data'!AQ31/'Raw Cost Data'!$AX31)</f>
        <v>0.14684244247339959</v>
      </c>
      <c r="E97" s="759">
        <f>IF(ISBLANK('Raw Cost Data'!AR31),"",'Raw Cost Data'!AR31/'Raw Cost Data'!$AX31)</f>
        <v>3.9763522564428055E-2</v>
      </c>
      <c r="F97" s="759">
        <f>IF(ISBLANK('Raw Cost Data'!AS31),"",'Raw Cost Data'!AS31/'Raw Cost Data'!$AX31)</f>
        <v>0.25678323321280516</v>
      </c>
      <c r="G97" s="759" t="str">
        <f>IF(ISBLANK('Raw Cost Data'!AT32),"",'Raw Cost Data'!AT32/'Raw Cost Data'!$AX31)</f>
        <v/>
      </c>
      <c r="H97" s="759" t="str">
        <f>IF(ISBLANK('Raw Cost Data'!AU32),"",'Raw Cost Data'!AU32/'Raw Cost Data'!$AX31)</f>
        <v/>
      </c>
      <c r="I97" s="759" t="str">
        <f>IF(ISBLANK('Raw Cost Data'!AV32),"",'Raw Cost Data'!AV32/'Raw Cost Data'!$AX31)</f>
        <v/>
      </c>
      <c r="J97" s="770">
        <f>IF(ISBLANK('Raw Cost Data'!AW31),"",'Raw Cost Data'!AW31/'Raw Cost Data'!$AX31)</f>
        <v>0.42407171998137239</v>
      </c>
    </row>
    <row r="98" spans="1:10">
      <c r="B98" s="769">
        <f>IF(ISBLANK('Raw Cost Data'!AO32),"",'Raw Cost Data'!AO32/'Raw Cost Data'!$AX32)</f>
        <v>0.13341802696467511</v>
      </c>
      <c r="C98" s="759">
        <f>IF(ISBLANK('Raw Cost Data'!AP32),"",'Raw Cost Data'!AP32/'Raw Cost Data'!$AX32)</f>
        <v>7.1227980768671692E-2</v>
      </c>
      <c r="D98" s="759">
        <f>IF(ISBLANK('Raw Cost Data'!AQ32),"",'Raw Cost Data'!AQ32/'Raw Cost Data'!$AX32)</f>
        <v>0.21296190812029528</v>
      </c>
      <c r="E98" s="759">
        <f>IF(ISBLANK('Raw Cost Data'!AR32),"",'Raw Cost Data'!AR32/'Raw Cost Data'!$AX32)</f>
        <v>0.19059373566577967</v>
      </c>
      <c r="F98" s="759">
        <f>IF(ISBLANK('Raw Cost Data'!AS32),"",'Raw Cost Data'!AS32/'Raw Cost Data'!$AX32)</f>
        <v>0.31304339853226526</v>
      </c>
      <c r="G98" s="759" t="str">
        <f>IF(ISBLANK('Raw Cost Data'!AT33),"",'Raw Cost Data'!AT33/'Raw Cost Data'!$AX32)</f>
        <v/>
      </c>
      <c r="H98" s="759" t="str">
        <f>IF(ISBLANK('Raw Cost Data'!AU33),"",'Raw Cost Data'!AU33/'Raw Cost Data'!$AX32)</f>
        <v/>
      </c>
      <c r="I98" s="759" t="str">
        <f>IF(ISBLANK('Raw Cost Data'!AV33),"",'Raw Cost Data'!AV33/'Raw Cost Data'!$AX32)</f>
        <v/>
      </c>
      <c r="J98" s="770">
        <f>IF(ISBLANK('Raw Cost Data'!AW32),"",'Raw Cost Data'!AW32/'Raw Cost Data'!$AX32)</f>
        <v>7.8754949948312947E-2</v>
      </c>
    </row>
    <row r="99" spans="1:10">
      <c r="B99" s="769">
        <f>IF(ISBLANK('Raw Cost Data'!AO33),"",'Raw Cost Data'!AO33/'Raw Cost Data'!$AX33)</f>
        <v>0.14496902283926635</v>
      </c>
      <c r="C99" s="759">
        <f>IF(ISBLANK('Raw Cost Data'!AP33),"",'Raw Cost Data'!AP33/'Raw Cost Data'!$AX33)</f>
        <v>8.9148792606375371E-2</v>
      </c>
      <c r="D99" s="759">
        <f>IF(ISBLANK('Raw Cost Data'!AQ33),"",'Raw Cost Data'!AQ33/'Raw Cost Data'!$AX33)</f>
        <v>0.26785531723475164</v>
      </c>
      <c r="E99" s="759">
        <f>IF(ISBLANK('Raw Cost Data'!AR33),"",'Raw Cost Data'!AR33/'Raw Cost Data'!$AX33)</f>
        <v>0.24427995992393728</v>
      </c>
      <c r="F99" s="759">
        <f>IF(ISBLANK('Raw Cost Data'!AS33),"",'Raw Cost Data'!AS33/'Raw Cost Data'!$AX33)</f>
        <v>0.19772220745496555</v>
      </c>
      <c r="G99" s="759" t="str">
        <f>IF(ISBLANK('Raw Cost Data'!AT34),"",'Raw Cost Data'!AT34/'Raw Cost Data'!$AX33)</f>
        <v/>
      </c>
      <c r="H99" s="759" t="str">
        <f>IF(ISBLANK('Raw Cost Data'!AU34),"",'Raw Cost Data'!AU34/'Raw Cost Data'!$AX33)</f>
        <v/>
      </c>
      <c r="I99" s="759" t="str">
        <f>IF(ISBLANK('Raw Cost Data'!AV34),"",'Raw Cost Data'!AV34/'Raw Cost Data'!$AX33)</f>
        <v/>
      </c>
      <c r="J99" s="770">
        <f>IF(ISBLANK('Raw Cost Data'!AW33),"",'Raw Cost Data'!AW33/'Raw Cost Data'!$AX33)</f>
        <v>5.6024699940703783E-2</v>
      </c>
    </row>
    <row r="100" spans="1:10">
      <c r="B100" s="769">
        <f>IF(ISBLANK('Raw Cost Data'!AO34),"",'Raw Cost Data'!AO34/'Raw Cost Data'!$AX34)</f>
        <v>0.11144573562971731</v>
      </c>
      <c r="C100" s="759">
        <f>IF(ISBLANK('Raw Cost Data'!AP34),"",'Raw Cost Data'!AP34/'Raw Cost Data'!$AX34)</f>
        <v>5.6758492471340641E-2</v>
      </c>
      <c r="D100" s="759">
        <f>IF(ISBLANK('Raw Cost Data'!AQ34),"",'Raw Cost Data'!AQ34/'Raw Cost Data'!$AX34)</f>
        <v>0.21821166240942994</v>
      </c>
      <c r="E100" s="759">
        <f>IF(ISBLANK('Raw Cost Data'!AR34),"",'Raw Cost Data'!AR34/'Raw Cost Data'!$AX34)</f>
        <v>0.19645318759211972</v>
      </c>
      <c r="F100" s="759">
        <f>IF(ISBLANK('Raw Cost Data'!AS34),"",'Raw Cost Data'!AS34/'Raw Cost Data'!$AX34)</f>
        <v>0.3907065260673529</v>
      </c>
      <c r="G100" s="759" t="str">
        <f>IF(ISBLANK('Raw Cost Data'!AT35),"",'Raw Cost Data'!AT35/'Raw Cost Data'!$AX34)</f>
        <v/>
      </c>
      <c r="H100" s="759" t="str">
        <f>IF(ISBLANK('Raw Cost Data'!AU35),"",'Raw Cost Data'!AU35/'Raw Cost Data'!$AX34)</f>
        <v/>
      </c>
      <c r="I100" s="759" t="str">
        <f>IF(ISBLANK('Raw Cost Data'!AV35),"",'Raw Cost Data'!AV35/'Raw Cost Data'!$AX34)</f>
        <v/>
      </c>
      <c r="J100" s="770">
        <f>IF(ISBLANK('Raw Cost Data'!AW34),"",'Raw Cost Data'!AW34/'Raw Cost Data'!$AX34)</f>
        <v>2.6424395830039547E-2</v>
      </c>
    </row>
    <row r="101" spans="1:10">
      <c r="B101" s="769">
        <f>IF(ISBLANK('Raw Cost Data'!AO35),"",'Raw Cost Data'!AO35/'Raw Cost Data'!$AX35)</f>
        <v>7.5218013445287404E-2</v>
      </c>
      <c r="C101" s="759">
        <f>IF(ISBLANK('Raw Cost Data'!AP35),"",'Raw Cost Data'!AP35/'Raw Cost Data'!$AX35)</f>
        <v>5.2080239747293394E-2</v>
      </c>
      <c r="D101" s="759">
        <f>IF(ISBLANK('Raw Cost Data'!AQ35),"",'Raw Cost Data'!AQ35/'Raw Cost Data'!$AX35)</f>
        <v>0.20850994897270445</v>
      </c>
      <c r="E101" s="759">
        <f>IF(ISBLANK('Raw Cost Data'!AR35),"",'Raw Cost Data'!AR35/'Raw Cost Data'!$AX35)</f>
        <v>0.21843192310807527</v>
      </c>
      <c r="F101" s="759">
        <f>IF(ISBLANK('Raw Cost Data'!AS35),"",'Raw Cost Data'!AS35/'Raw Cost Data'!$AX35)</f>
        <v>0.42914225546046059</v>
      </c>
      <c r="G101" s="759" t="str">
        <f>IF(ISBLANK('Raw Cost Data'!AT36),"",'Raw Cost Data'!AT36/'Raw Cost Data'!$AX35)</f>
        <v/>
      </c>
      <c r="H101" s="759" t="str">
        <f>IF(ISBLANK('Raw Cost Data'!AU36),"",'Raw Cost Data'!AU36/'Raw Cost Data'!$AX35)</f>
        <v/>
      </c>
      <c r="I101" s="759" t="str">
        <f>IF(ISBLANK('Raw Cost Data'!AV36),"",'Raw Cost Data'!AV36/'Raw Cost Data'!$AX35)</f>
        <v/>
      </c>
      <c r="J101" s="770">
        <f>IF(ISBLANK('Raw Cost Data'!AW35),"",'Raw Cost Data'!AW35/'Raw Cost Data'!$AX35)</f>
        <v>1.6617619266178892E-2</v>
      </c>
    </row>
    <row r="102" spans="1:10">
      <c r="B102" s="769">
        <f>IF(ISBLANK('Raw Cost Data'!AO36),"",'Raw Cost Data'!AO36/'Raw Cost Data'!$AX36)</f>
        <v>0.13311211400842052</v>
      </c>
      <c r="C102" s="759">
        <f>IF(ISBLANK('Raw Cost Data'!AP36),"",'Raw Cost Data'!AP36/'Raw Cost Data'!$AX36)</f>
        <v>5.2118836511826777E-2</v>
      </c>
      <c r="D102" s="759">
        <f>IF(ISBLANK('Raw Cost Data'!AQ36),"",'Raw Cost Data'!AQ36/'Raw Cost Data'!$AX36)</f>
        <v>0.1393313502698412</v>
      </c>
      <c r="E102" s="759">
        <f>IF(ISBLANK('Raw Cost Data'!AR36),"",'Raw Cost Data'!AR36/'Raw Cost Data'!$AX36)</f>
        <v>0.46854989505038808</v>
      </c>
      <c r="F102" s="759">
        <f>IF(ISBLANK('Raw Cost Data'!AS36),"",'Raw Cost Data'!AS36/'Raw Cost Data'!$AX36)</f>
        <v>0.13151638891502967</v>
      </c>
      <c r="G102" s="759" t="str">
        <f>IF(ISBLANK('Raw Cost Data'!AT37),"",'Raw Cost Data'!AT37/'Raw Cost Data'!$AX36)</f>
        <v/>
      </c>
      <c r="H102" s="759" t="str">
        <f>IF(ISBLANK('Raw Cost Data'!AU37),"",'Raw Cost Data'!AU37/'Raw Cost Data'!$AX36)</f>
        <v/>
      </c>
      <c r="I102" s="759" t="str">
        <f>IF(ISBLANK('Raw Cost Data'!AV37),"",'Raw Cost Data'!AV37/'Raw Cost Data'!$AX36)</f>
        <v/>
      </c>
      <c r="J102" s="770">
        <f>IF(ISBLANK('Raw Cost Data'!AW36),"",'Raw Cost Data'!AW36/'Raw Cost Data'!$AX36)</f>
        <v>7.5371415244493728E-2</v>
      </c>
    </row>
    <row r="103" spans="1:10">
      <c r="B103" s="769">
        <f>IF(ISBLANK('Raw Cost Data'!AO37),"",'Raw Cost Data'!AO37/'Raw Cost Data'!$AX37)</f>
        <v>0.12143834298167303</v>
      </c>
      <c r="C103" s="759">
        <f>IF(ISBLANK('Raw Cost Data'!AP37),"",'Raw Cost Data'!AP37/'Raw Cost Data'!$AX37)</f>
        <v>7.9310887406843972E-2</v>
      </c>
      <c r="D103" s="759">
        <f>IF(ISBLANK('Raw Cost Data'!AQ37),"",'Raw Cost Data'!AQ37/'Raw Cost Data'!$AX37)</f>
        <v>0.17552652294564774</v>
      </c>
      <c r="E103" s="759">
        <f>IF(ISBLANK('Raw Cost Data'!AR37),"",'Raw Cost Data'!AR37/'Raw Cost Data'!$AX37)</f>
        <v>0.18745612084893135</v>
      </c>
      <c r="F103" s="759">
        <f>IF(ISBLANK('Raw Cost Data'!AS37),"",'Raw Cost Data'!AS37/'Raw Cost Data'!$AX37)</f>
        <v>0.2024009651991</v>
      </c>
      <c r="G103" s="759" t="str">
        <f>IF(ISBLANK('Raw Cost Data'!AT38),"",'Raw Cost Data'!AT38/'Raw Cost Data'!$AX37)</f>
        <v/>
      </c>
      <c r="H103" s="759" t="str">
        <f>IF(ISBLANK('Raw Cost Data'!AU38),"",'Raw Cost Data'!AU38/'Raw Cost Data'!$AX37)</f>
        <v/>
      </c>
      <c r="I103" s="759" t="str">
        <f>IF(ISBLANK('Raw Cost Data'!AV38),"",'Raw Cost Data'!AV38/'Raw Cost Data'!$AX37)</f>
        <v/>
      </c>
      <c r="J103" s="770">
        <f>IF(ISBLANK('Raw Cost Data'!AW37),"",'Raw Cost Data'!AW37/'Raw Cost Data'!$AX37)</f>
        <v>0.23386716061780385</v>
      </c>
    </row>
    <row r="104" spans="1:10">
      <c r="A104" s="771" t="s">
        <v>686</v>
      </c>
      <c r="B104" s="772">
        <f>MEDIAN(B68:B103)</f>
        <v>0.13341802696467511</v>
      </c>
      <c r="C104" s="772">
        <f t="shared" ref="C104:J104" si="3">MEDIAN(C68:C103)</f>
        <v>7.8103658155365865E-2</v>
      </c>
      <c r="D104" s="772">
        <f t="shared" si="3"/>
        <v>0.1325926185552557</v>
      </c>
      <c r="E104" s="772">
        <f t="shared" si="3"/>
        <v>9.7522301764301211E-2</v>
      </c>
      <c r="F104" s="772">
        <f t="shared" si="3"/>
        <v>0.16810684724974284</v>
      </c>
      <c r="G104" s="772">
        <f t="shared" si="3"/>
        <v>5.5392487418380411E-2</v>
      </c>
      <c r="H104" s="772">
        <f t="shared" si="3"/>
        <v>0.2547528164839114</v>
      </c>
      <c r="I104" s="772">
        <f t="shared" si="3"/>
        <v>0.12668631119682969</v>
      </c>
      <c r="J104" s="772">
        <f t="shared" si="3"/>
        <v>9.7458485216686916E-2</v>
      </c>
    </row>
    <row r="105" spans="1:10">
      <c r="A105" s="720" t="s">
        <v>685</v>
      </c>
      <c r="B105" s="749">
        <f>AVERAGE(B68:B103)</f>
        <v>0.15058340056537084</v>
      </c>
      <c r="C105" s="749">
        <f t="shared" ref="C105:J105" si="4">AVERAGE(C68:C103)</f>
        <v>0.10493220799461839</v>
      </c>
      <c r="D105" s="749">
        <f t="shared" si="4"/>
        <v>0.14238716783832264</v>
      </c>
      <c r="E105" s="749">
        <f t="shared" si="4"/>
        <v>0.13211085819929985</v>
      </c>
      <c r="F105" s="749">
        <f t="shared" si="4"/>
        <v>0.19812237993564569</v>
      </c>
      <c r="G105" s="749">
        <f t="shared" si="4"/>
        <v>6.7463491480755186E-2</v>
      </c>
      <c r="H105" s="749">
        <f t="shared" si="4"/>
        <v>0.22017438264942413</v>
      </c>
      <c r="I105" s="749">
        <f t="shared" si="4"/>
        <v>0.27129869623453728</v>
      </c>
      <c r="J105" s="749">
        <f t="shared" si="4"/>
        <v>0.17723437669098879</v>
      </c>
    </row>
    <row r="106" spans="1:10">
      <c r="A106" s="773" t="s">
        <v>687</v>
      </c>
      <c r="B106" s="735">
        <f>COUNT(B68:B103)</f>
        <v>31</v>
      </c>
      <c r="C106" s="735">
        <f t="shared" ref="C106:J106" si="5">COUNT(C68:C103)</f>
        <v>31</v>
      </c>
      <c r="D106" s="735">
        <f t="shared" si="5"/>
        <v>31</v>
      </c>
      <c r="E106" s="735">
        <f t="shared" si="5"/>
        <v>26</v>
      </c>
      <c r="F106" s="735">
        <f t="shared" si="5"/>
        <v>28</v>
      </c>
      <c r="G106" s="735">
        <f t="shared" si="5"/>
        <v>14</v>
      </c>
      <c r="H106" s="735">
        <f t="shared" si="5"/>
        <v>6</v>
      </c>
      <c r="I106" s="735">
        <f t="shared" si="5"/>
        <v>16</v>
      </c>
      <c r="J106" s="735">
        <f t="shared" si="5"/>
        <v>23</v>
      </c>
    </row>
  </sheetData>
  <sheetProtection algorithmName="SHA-512" hashValue="tMBeJFzKd8GtLAkOjtDvyd9pw3vPQEZ5ZfAPWwtLh4hjuqNowp5eJkBY2acWNE1Tw/m1wnS2pnFzWEvCrW7+DQ==" saltValue="tnj5Hkpw+Of22TznKk5/5g==" spinCount="100000" sheet="1" objects="1" scenarios="1"/>
  <mergeCells count="18">
    <mergeCell ref="A1:G1"/>
    <mergeCell ref="I1:O1"/>
    <mergeCell ref="Q1:W1"/>
    <mergeCell ref="Y1:AE1"/>
    <mergeCell ref="AA2:AE2"/>
    <mergeCell ref="B66:J66"/>
    <mergeCell ref="L24:M24"/>
    <mergeCell ref="AA16:AE16"/>
    <mergeCell ref="K2:O2"/>
    <mergeCell ref="K10:N10"/>
    <mergeCell ref="S2:W2"/>
    <mergeCell ref="B23:I23"/>
    <mergeCell ref="C2:G2"/>
    <mergeCell ref="S16:W16"/>
    <mergeCell ref="C16:G16"/>
    <mergeCell ref="C10:G10"/>
    <mergeCell ref="S10:V10"/>
    <mergeCell ref="AA10:AD10"/>
  </mergeCells>
  <conditionalFormatting sqref="B68:B103">
    <cfRule type="colorScale" priority="2">
      <colorScale>
        <cfvo type="min"/>
        <cfvo type="percentile" val="50"/>
        <cfvo type="max"/>
        <color rgb="FF63BE7B"/>
        <color rgb="FFFFEB84"/>
        <color rgb="FFF8696B"/>
      </colorScale>
    </cfRule>
  </conditionalFormatting>
  <conditionalFormatting sqref="B61:I61 J51 A104:J104">
    <cfRule type="colorScale" priority="5">
      <colorScale>
        <cfvo type="min"/>
        <cfvo type="percentile" val="50"/>
        <cfvo type="max"/>
        <color rgb="FF63BE7B"/>
        <color rgb="FFFFEB84"/>
        <color rgb="FFF8696B"/>
      </colorScale>
    </cfRule>
  </conditionalFormatting>
  <conditionalFormatting sqref="B62:I62 J52">
    <cfRule type="colorScale" priority="4">
      <colorScale>
        <cfvo type="min"/>
        <cfvo type="percentile" val="50"/>
        <cfvo type="max"/>
        <color rgb="FF63BE7B"/>
        <color rgb="FFFFEB84"/>
        <color rgb="FFF8696B"/>
      </colorScale>
    </cfRule>
  </conditionalFormatting>
  <conditionalFormatting sqref="B25:J50 B51:I60">
    <cfRule type="colorScale" priority="6">
      <colorScale>
        <cfvo type="min"/>
        <cfvo type="percentile" val="50"/>
        <cfvo type="max"/>
        <color rgb="FF63BE7B"/>
        <color rgb="FFFFEB84"/>
        <color rgb="FFF8696B"/>
      </colorScale>
    </cfRule>
  </conditionalFormatting>
  <conditionalFormatting sqref="B105:J105">
    <cfRule type="colorScale" priority="3">
      <colorScale>
        <cfvo type="min"/>
        <cfvo type="percentile" val="50"/>
        <cfvo type="max"/>
        <color rgb="FF63BE7B"/>
        <color rgb="FFFFEB84"/>
        <color rgb="FFF8696B"/>
      </colorScale>
    </cfRule>
  </conditionalFormatting>
  <conditionalFormatting sqref="C68:J103">
    <cfRule type="colorScale" priority="1">
      <colorScale>
        <cfvo type="min"/>
        <cfvo type="percentile" val="50"/>
        <cfvo type="max"/>
        <color rgb="FF63BE7B"/>
        <color rgb="FFFFEB84"/>
        <color rgb="FFF8696B"/>
      </colorScale>
    </cfRule>
  </conditionalFormatting>
  <dataValidations disablePrompts="1" count="1">
    <dataValidation type="list" allowBlank="1" showInputMessage="1" showErrorMessage="1" sqref="A7 I7 Q7 Y7" xr:uid="{B3593838-68F5-47AA-BC86-2A6E4A631F22}">
      <formula1>#REF!</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FDA4B5E6130B47A60722B1B1B7239E" ma:contentTypeVersion="19" ma:contentTypeDescription="Create a new document." ma:contentTypeScope="" ma:versionID="a3d5ff9fa0d6e4449d07dcd0459259f5">
  <xsd:schema xmlns:xsd="http://www.w3.org/2001/XMLSchema" xmlns:xs="http://www.w3.org/2001/XMLSchema" xmlns:p="http://schemas.microsoft.com/office/2006/metadata/properties" xmlns:ns2="00c12d9d-4e0c-4987-98ac-b7ff32812be3" xmlns:ns3="76e61b66-1787-4f4d-9cfd-dca41b7632b7" targetNamespace="http://schemas.microsoft.com/office/2006/metadata/properties" ma:root="true" ma:fieldsID="cc3f040f381a7f290df1249ec458f325" ns2:_="" ns3:_="">
    <xsd:import namespace="00c12d9d-4e0c-4987-98ac-b7ff32812be3"/>
    <xsd:import namespace="76e61b66-1787-4f4d-9cfd-dca41b7632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c12d9d-4e0c-4987-98ac-b7ff32812b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37fd66-c85f-4cdb-a613-a59591a4ba32"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e61b66-1787-4f4d-9cfd-dca41b7632b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3f1fa12b-df51-49b8-8d51-92336a886997}" ma:internalName="TaxCatchAll" ma:showField="CatchAllData" ma:web="76e61b66-1787-4f4d-9cfd-dca41b7632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0c12d9d-4e0c-4987-98ac-b7ff32812be3">
      <Terms xmlns="http://schemas.microsoft.com/office/infopath/2007/PartnerControls"/>
    </lcf76f155ced4ddcb4097134ff3c332f>
    <TaxCatchAll xmlns="76e61b66-1787-4f4d-9cfd-dca41b7632b7" xsi:nil="true"/>
  </documentManagement>
</p:properties>
</file>

<file path=customXml/itemProps1.xml><?xml version="1.0" encoding="utf-8"?>
<ds:datastoreItem xmlns:ds="http://schemas.openxmlformats.org/officeDocument/2006/customXml" ds:itemID="{E4E6C62E-4051-4617-BE55-B493A2E4A72D}"/>
</file>

<file path=customXml/itemProps2.xml><?xml version="1.0" encoding="utf-8"?>
<ds:datastoreItem xmlns:ds="http://schemas.openxmlformats.org/officeDocument/2006/customXml" ds:itemID="{99531317-0DBC-4948-9E42-974E7EB4E724}"/>
</file>

<file path=customXml/itemProps3.xml><?xml version="1.0" encoding="utf-8"?>
<ds:datastoreItem xmlns:ds="http://schemas.openxmlformats.org/officeDocument/2006/customXml" ds:itemID="{FABE757B-EA40-4EF1-9DB0-61D0C4408B4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Cabral</dc:creator>
  <cp:keywords/>
  <dc:description/>
  <cp:lastModifiedBy>Bromfield, Heather</cp:lastModifiedBy>
  <cp:revision/>
  <dcterms:created xsi:type="dcterms:W3CDTF">2025-08-26T15:39:39Z</dcterms:created>
  <dcterms:modified xsi:type="dcterms:W3CDTF">2026-03-09T19:40:46Z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0x01010006FDA4B5E6130B47A60722B1B1B7239E</vt:lpwstr>
  </property>
  <property fmtid="{D5CDD505-2E9C-101B-9397-08002B2CF9AE}" pid="3" name="MediaServiceImageTags">
    <vt:lpwstr/>
  </property>
</Properties>
</file>