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2"/>
  <workbookPr codeName="ThisWorkbook" defaultThemeVersion="124226"/>
  <mc:AlternateContent xmlns:mc="http://schemas.openxmlformats.org/markup-compatibility/2006">
    <mc:Choice Requires="x15">
      <x15ac:absPath xmlns:x15ac="http://schemas.microsoft.com/office/spreadsheetml/2010/11/ac" url="https://d.docs.live.net/996782c61b624dc6/Documents/Heron/Active Projects - Heron/FBDI Curriculum/Resources for FBD Guide/"/>
    </mc:Choice>
  </mc:AlternateContent>
  <xr:revisionPtr revIDLastSave="0" documentId="8_{8493BCC6-988B-422D-93E5-A9A758EB0E40}" xr6:coauthVersionLast="47" xr6:coauthVersionMax="47" xr10:uidLastSave="{00000000-0000-0000-0000-000000000000}"/>
  <bookViews>
    <workbookView xWindow="-28920" yWindow="-120" windowWidth="29040" windowHeight="15720" firstSheet="3" activeTab="3" xr2:uid="{43A45692-1966-45C5-945D-935398ECA4B5}"/>
  </bookViews>
  <sheets>
    <sheet name="Instructions" sheetId="251" r:id="rId1"/>
    <sheet name="Development Costs" sheetId="2" r:id="rId2"/>
    <sheet name="Operating Pro Forma" sheetId="1" r:id="rId3"/>
    <sheet name="Permanent Financing Sources" sheetId="3" r:id="rId4"/>
    <sheet name="Sources &amp; Uses" sheetId="250" r:id="rId5"/>
    <sheet name="15-Year Operating Pro forma" sheetId="5" r:id="rId6"/>
    <sheet name="TERMS - Development Costs" sheetId="252" r:id="rId7"/>
    <sheet name="TERMS - Operating Pro Forma" sheetId="253" r:id="rId8"/>
    <sheet name="TERMS - FINANCING" sheetId="254" r:id="rId9"/>
    <sheet name="TERMS - Sources and Uses" sheetId="255" r:id="rId10"/>
    <sheet name="TERMS - 15-Year Pro Forma" sheetId="256" r:id="rId11"/>
  </sheets>
  <definedNames>
    <definedName name="\A">#REF!</definedName>
    <definedName name="\B">#REF!</definedName>
    <definedName name="\C">#REF!</definedName>
    <definedName name="\D">#REF!</definedName>
    <definedName name="\E">#REF!</definedName>
    <definedName name="\I">#REF!</definedName>
    <definedName name="\P">#REF!</definedName>
    <definedName name="\R">#REF!</definedName>
    <definedName name="_xlnm.Print_Area" localSheetId="5">'15-Year Operating Pro forma'!$A$1:$M$49</definedName>
    <definedName name="_xlnm.Print_Area" localSheetId="1">'Development Costs'!$A$1:$H$79</definedName>
    <definedName name="_xlnm.Print_Area" localSheetId="2">'Operating Pro Forma'!$A$1:$J$41</definedName>
    <definedName name="_xlnm.Print_Area" localSheetId="3">'Permanent Financing Sources'!$A$1:$J$63</definedName>
    <definedName name="_xlnm.Print_Area" localSheetId="4">'Sources &amp; Uses'!$A$1:$G$17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7" i="3" l="1"/>
  <c r="D56" i="3"/>
  <c r="B2" i="5"/>
  <c r="B1" i="5"/>
  <c r="B2" i="250"/>
  <c r="B1" i="250"/>
  <c r="C2" i="3"/>
  <c r="C1" i="3"/>
  <c r="B2" i="1"/>
  <c r="B1" i="1"/>
  <c r="F14" i="1"/>
  <c r="F15" i="1"/>
  <c r="H15" i="1"/>
  <c r="F16" i="1"/>
  <c r="F17" i="1"/>
  <c r="F18" i="1"/>
  <c r="F19" i="1"/>
  <c r="F20" i="1"/>
  <c r="H20" i="1"/>
  <c r="F21" i="1"/>
  <c r="F22" i="1"/>
  <c r="J17" i="1"/>
  <c r="C24" i="1"/>
  <c r="H27" i="1"/>
  <c r="F10" i="1" l="1"/>
  <c r="F9" i="1"/>
  <c r="F8" i="1"/>
  <c r="I11" i="3"/>
  <c r="D13" i="3"/>
  <c r="D21" i="3"/>
  <c r="D29" i="3"/>
  <c r="F35" i="1" s="1"/>
  <c r="H33" i="1"/>
  <c r="H34" i="1" s="1"/>
  <c r="C57" i="2"/>
  <c r="C12" i="250" s="1"/>
  <c r="C22" i="2"/>
  <c r="C62" i="2"/>
  <c r="C13" i="250" s="1"/>
  <c r="E13" i="250" s="1"/>
  <c r="C69" i="2"/>
  <c r="C14" i="250" s="1"/>
  <c r="E14" i="250" s="1"/>
  <c r="C46" i="2"/>
  <c r="C11" i="250" s="1"/>
  <c r="E11" i="250" s="1"/>
  <c r="C39" i="2"/>
  <c r="C10" i="250" s="1"/>
  <c r="E10" i="250" s="1"/>
  <c r="C31" i="2"/>
  <c r="C9" i="250" s="1"/>
  <c r="E9" i="250" s="1"/>
  <c r="C14" i="2"/>
  <c r="C7" i="250" s="1"/>
  <c r="C9" i="2"/>
  <c r="C6" i="250" s="1"/>
  <c r="H5" i="2"/>
  <c r="H7" i="2" s="1"/>
  <c r="J31" i="1"/>
  <c r="F11" i="1"/>
  <c r="F12" i="1"/>
  <c r="F13" i="1"/>
  <c r="D9" i="5"/>
  <c r="E9" i="5" s="1"/>
  <c r="F9" i="5" s="1"/>
  <c r="G9" i="5" s="1"/>
  <c r="H9" i="5" s="1"/>
  <c r="I9" i="5" s="1"/>
  <c r="J9" i="5" s="1"/>
  <c r="K9" i="5" s="1"/>
  <c r="L9" i="5" s="1"/>
  <c r="M9" i="5" s="1"/>
  <c r="N9" i="5" s="1"/>
  <c r="O9" i="5" s="1"/>
  <c r="P9" i="5" s="1"/>
  <c r="Q9" i="5" s="1"/>
  <c r="R9" i="5" s="1"/>
  <c r="I15" i="3"/>
  <c r="I16" i="3"/>
  <c r="I17" i="3"/>
  <c r="I13" i="3"/>
  <c r="I12" i="3"/>
  <c r="B8" i="5"/>
  <c r="I29" i="3"/>
  <c r="F60" i="3"/>
  <c r="E51" i="3"/>
  <c r="D15" i="250"/>
  <c r="F20" i="2"/>
  <c r="L13" i="5" l="1"/>
  <c r="F34" i="1"/>
  <c r="G13" i="5"/>
  <c r="N13" i="5"/>
  <c r="F13" i="5"/>
  <c r="M13" i="5"/>
  <c r="E13" i="5"/>
  <c r="F33" i="1"/>
  <c r="K13" i="5"/>
  <c r="R13" i="5"/>
  <c r="J13" i="5"/>
  <c r="D13" i="5"/>
  <c r="Q13" i="5"/>
  <c r="I13" i="5"/>
  <c r="P13" i="5"/>
  <c r="H13" i="5"/>
  <c r="O13" i="5"/>
  <c r="F23" i="1"/>
  <c r="E12" i="250"/>
  <c r="E6" i="250"/>
  <c r="E7" i="250"/>
  <c r="D11" i="5"/>
  <c r="E11" i="5" s="1"/>
  <c r="F11" i="5" s="1"/>
  <c r="G11" i="5" s="1"/>
  <c r="H11" i="5" s="1"/>
  <c r="I11" i="5" s="1"/>
  <c r="J11" i="5" s="1"/>
  <c r="K11" i="5" s="1"/>
  <c r="L11" i="5" s="1"/>
  <c r="M11" i="5" s="1"/>
  <c r="N11" i="5" s="1"/>
  <c r="O11" i="5" s="1"/>
  <c r="P11" i="5" s="1"/>
  <c r="Q11" i="5" s="1"/>
  <c r="R11" i="5" s="1"/>
  <c r="E38" i="3"/>
  <c r="H36" i="1"/>
  <c r="H8" i="2"/>
  <c r="D22" i="2" s="1"/>
  <c r="E69" i="2"/>
  <c r="E37" i="2"/>
  <c r="E7" i="2"/>
  <c r="E24" i="2"/>
  <c r="E18" i="2"/>
  <c r="E65" i="2"/>
  <c r="E48" i="2"/>
  <c r="E14" i="2"/>
  <c r="E34" i="2"/>
  <c r="E16" i="2"/>
  <c r="C76" i="2"/>
  <c r="E31" i="2"/>
  <c r="E49" i="2"/>
  <c r="E64" i="2"/>
  <c r="E17" i="2"/>
  <c r="E20" i="2"/>
  <c r="E52" i="2"/>
  <c r="E44" i="2"/>
  <c r="E19" i="2"/>
  <c r="E59" i="2"/>
  <c r="E30" i="2"/>
  <c r="E55" i="2"/>
  <c r="E41" i="2"/>
  <c r="E36" i="2"/>
  <c r="E42" i="2"/>
  <c r="E62" i="2"/>
  <c r="E53" i="2"/>
  <c r="E43" i="2"/>
  <c r="E26" i="2"/>
  <c r="E25" i="2"/>
  <c r="E51" i="2"/>
  <c r="E54" i="2"/>
  <c r="E8" i="2"/>
  <c r="E45" i="2"/>
  <c r="E67" i="2"/>
  <c r="E12" i="2"/>
  <c r="E57" i="2"/>
  <c r="C77" i="2"/>
  <c r="E61" i="2"/>
  <c r="E29" i="2"/>
  <c r="E33" i="2"/>
  <c r="E27" i="2"/>
  <c r="E60" i="2"/>
  <c r="E35" i="2"/>
  <c r="E9" i="2"/>
  <c r="E66" i="2"/>
  <c r="E38" i="2"/>
  <c r="E28" i="2"/>
  <c r="E56" i="2"/>
  <c r="E68" i="2"/>
  <c r="E13" i="2"/>
  <c r="E21" i="2"/>
  <c r="E39" i="2"/>
  <c r="E50" i="2"/>
  <c r="E11" i="2"/>
  <c r="E46" i="2"/>
  <c r="E22" i="2"/>
  <c r="C70" i="2"/>
  <c r="C8" i="250"/>
  <c r="F36" i="1" l="1"/>
  <c r="F65" i="2" s="1"/>
  <c r="F28" i="1"/>
  <c r="F29" i="1" s="1"/>
  <c r="I15" i="1"/>
  <c r="D57" i="2"/>
  <c r="D18" i="2"/>
  <c r="D27" i="2"/>
  <c r="D13" i="2"/>
  <c r="D66" i="2"/>
  <c r="D12" i="2"/>
  <c r="D39" i="2"/>
  <c r="D31" i="2"/>
  <c r="D52" i="2"/>
  <c r="D29" i="2"/>
  <c r="D54" i="2"/>
  <c r="D14" i="2"/>
  <c r="D17" i="2"/>
  <c r="D61" i="2"/>
  <c r="D56" i="2"/>
  <c r="D51" i="2"/>
  <c r="D24" i="2"/>
  <c r="C73" i="2"/>
  <c r="D26" i="2"/>
  <c r="D60" i="2"/>
  <c r="D25" i="2"/>
  <c r="D68" i="2"/>
  <c r="D21" i="2"/>
  <c r="D9" i="2"/>
  <c r="D37" i="2"/>
  <c r="D42" i="2"/>
  <c r="D65" i="2"/>
  <c r="D28" i="2"/>
  <c r="D36" i="2"/>
  <c r="D48" i="2"/>
  <c r="D38" i="2"/>
  <c r="D69" i="2"/>
  <c r="D8" i="2"/>
  <c r="D7" i="2"/>
  <c r="D34" i="2"/>
  <c r="D59" i="2"/>
  <c r="D41" i="2"/>
  <c r="D44" i="2"/>
  <c r="D67" i="2"/>
  <c r="D11" i="2"/>
  <c r="D55" i="2"/>
  <c r="D50" i="2"/>
  <c r="D45" i="2"/>
  <c r="D30" i="2"/>
  <c r="D33" i="2"/>
  <c r="D62" i="2"/>
  <c r="C74" i="2"/>
  <c r="D16" i="2"/>
  <c r="D20" i="2"/>
  <c r="D43" i="2"/>
  <c r="D19" i="2"/>
  <c r="D49" i="2"/>
  <c r="C75" i="2"/>
  <c r="D35" i="2"/>
  <c r="D53" i="2"/>
  <c r="D64" i="2"/>
  <c r="D46" i="2"/>
  <c r="C71" i="2"/>
  <c r="D5" i="3"/>
  <c r="E70" i="2"/>
  <c r="D70" i="2"/>
  <c r="C17" i="250"/>
  <c r="F62" i="2"/>
  <c r="C15" i="250"/>
  <c r="E8" i="250"/>
  <c r="E15" i="250" s="1"/>
  <c r="C16" i="250" s="1"/>
  <c r="I7" i="1"/>
  <c r="D7" i="5"/>
  <c r="E7" i="5" s="1"/>
  <c r="C37" i="1"/>
  <c r="C59" i="3" s="1"/>
  <c r="I14" i="3" l="1"/>
  <c r="D74" i="2"/>
  <c r="D75" i="2"/>
  <c r="D73" i="2"/>
  <c r="I18" i="3"/>
  <c r="E8" i="5"/>
  <c r="E10" i="5" s="1"/>
  <c r="E12" i="5" s="1"/>
  <c r="F7" i="5"/>
  <c r="D8" i="5"/>
  <c r="J18" i="3" l="1"/>
  <c r="I19" i="3"/>
  <c r="F30" i="1"/>
  <c r="D10" i="5" s="1"/>
  <c r="D12" i="5" s="1"/>
  <c r="J11" i="3"/>
  <c r="J17" i="3"/>
  <c r="J12" i="3"/>
  <c r="J15" i="3"/>
  <c r="J13" i="3"/>
  <c r="J14" i="3"/>
  <c r="J16" i="3"/>
  <c r="F8" i="5"/>
  <c r="F10" i="5" s="1"/>
  <c r="F12" i="5" s="1"/>
  <c r="G7" i="5"/>
  <c r="E15" i="5"/>
  <c r="E16" i="5"/>
  <c r="H35" i="1" l="1"/>
  <c r="E13" i="3" s="1"/>
  <c r="J19" i="3"/>
  <c r="G8" i="5"/>
  <c r="G10" i="5" s="1"/>
  <c r="G12" i="5" s="1"/>
  <c r="H7" i="5"/>
  <c r="F15" i="5"/>
  <c r="F16" i="5"/>
  <c r="D15" i="5"/>
  <c r="D16" i="5"/>
  <c r="F37" i="1" l="1"/>
  <c r="F59" i="3" s="1"/>
  <c r="E21" i="3"/>
  <c r="E29" i="3"/>
  <c r="F38" i="1"/>
  <c r="C60" i="3" s="1"/>
  <c r="I22" i="3"/>
  <c r="I24" i="3" s="1"/>
  <c r="I26" i="3" s="1"/>
  <c r="H8" i="5"/>
  <c r="H10" i="5" s="1"/>
  <c r="H12" i="5" s="1"/>
  <c r="I7" i="5"/>
  <c r="G15" i="5"/>
  <c r="G16" i="5"/>
  <c r="I8" i="5" l="1"/>
  <c r="I10" i="5" s="1"/>
  <c r="I12" i="5" s="1"/>
  <c r="J7" i="5"/>
  <c r="H15" i="5"/>
  <c r="H16" i="5"/>
  <c r="J8" i="5" l="1"/>
  <c r="J10" i="5" s="1"/>
  <c r="J12" i="5" s="1"/>
  <c r="K7" i="5"/>
  <c r="I15" i="5"/>
  <c r="I16" i="5"/>
  <c r="K8" i="5" l="1"/>
  <c r="K10" i="5" s="1"/>
  <c r="K12" i="5" s="1"/>
  <c r="L7" i="5"/>
  <c r="J15" i="5"/>
  <c r="J16" i="5"/>
  <c r="L8" i="5" l="1"/>
  <c r="L10" i="5" s="1"/>
  <c r="L12" i="5" s="1"/>
  <c r="M7" i="5"/>
  <c r="K15" i="5"/>
  <c r="K16" i="5"/>
  <c r="M8" i="5" l="1"/>
  <c r="M10" i="5" s="1"/>
  <c r="M12" i="5" s="1"/>
  <c r="N7" i="5"/>
  <c r="L15" i="5"/>
  <c r="L16" i="5"/>
  <c r="N8" i="5" l="1"/>
  <c r="N10" i="5" s="1"/>
  <c r="N12" i="5" s="1"/>
  <c r="O7" i="5"/>
  <c r="M15" i="5"/>
  <c r="B26" i="5" s="1"/>
  <c r="M16" i="5"/>
  <c r="O8" i="5" l="1"/>
  <c r="O10" i="5" s="1"/>
  <c r="O12" i="5" s="1"/>
  <c r="P7" i="5"/>
  <c r="N15" i="5"/>
  <c r="N16" i="5"/>
  <c r="P8" i="5" l="1"/>
  <c r="P10" i="5" s="1"/>
  <c r="P12" i="5" s="1"/>
  <c r="Q7" i="5"/>
  <c r="O15" i="5"/>
  <c r="O16" i="5"/>
  <c r="Q8" i="5" l="1"/>
  <c r="Q10" i="5" s="1"/>
  <c r="Q12" i="5" s="1"/>
  <c r="R7" i="5"/>
  <c r="P15" i="5"/>
  <c r="P16" i="5"/>
  <c r="R8" i="5" l="1"/>
  <c r="R10" i="5" s="1"/>
  <c r="R12" i="5" s="1"/>
  <c r="Q15" i="5"/>
  <c r="Q16" i="5"/>
  <c r="R15" i="5" l="1"/>
  <c r="B27" i="5" s="1"/>
  <c r="R1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Patton, Zachary</author>
  </authors>
  <commentList>
    <comment ref="A7" authorId="0" shapeId="0" xr:uid="{285DD923-0672-42A7-BB16-9280B7401ABC}">
      <text>
        <r>
          <rPr>
            <sz val="9"/>
            <color indexed="81"/>
            <rFont val="Tahoma"/>
            <family val="2"/>
          </rPr>
          <t>The total cost to purchase or acquire a long-term lease for the land you will use for your development.</t>
        </r>
      </text>
    </comment>
    <comment ref="A8" authorId="0" shapeId="0" xr:uid="{52AD5F9D-97A9-43AC-B126-205A9096332E}">
      <text>
        <r>
          <rPr>
            <sz val="9"/>
            <color indexed="81"/>
            <rFont val="Tahoma"/>
            <family val="2"/>
          </rPr>
          <t>The total cost to acquire any existing structures on the site</t>
        </r>
      </text>
    </comment>
    <comment ref="A9" authorId="0" shapeId="0" xr:uid="{E50583ED-0206-413D-B337-1B024E488F82}">
      <text>
        <r>
          <rPr>
            <sz val="9"/>
            <color indexed="81"/>
            <rFont val="Tahoma"/>
            <family val="2"/>
          </rPr>
          <t>The total cost of acquiring all land and structures.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tc={A4406528-7CD6-4DDA-9F8B-BF0D2536DC0C}</author>
  </authors>
  <commentList>
    <comment ref="H23" authorId="0" shapeId="0" xr:uid="{A4406528-7CD6-4DDA-9F8B-BF0D2536DC0C}">
      <text>
        <t>[Threaded comment]
Your version of Excel allows you to read this threaded comment; however, any edits to it will get removed if the file is opened in a newer version of Excel. Learn more: https://go.microsoft.com/fwlink/?linkid=870924
Comment:
    A capitalization rate – or cap rate – is a formula that allows you to determine the financial benefits of different investment properties. It enables you to weigh the income you would potentially generate in the first year of owning the property against the cost of purchasing the property. In this way, it can be thought of as the rate of return you’d receive on your investment.</t>
      </text>
    </comment>
  </commentList>
</comments>
</file>

<file path=xl/sharedStrings.xml><?xml version="1.0" encoding="utf-8"?>
<sst xmlns="http://schemas.openxmlformats.org/spreadsheetml/2006/main" count="620" uniqueCount="411">
  <si>
    <t>About this Tool</t>
  </si>
  <si>
    <r>
      <t>A development financial model can be an intimidating set of information to collect, input and interpret. There are many values. Terms are not always well explained. It can be difficult to interpret the outputs. This tool provides a starting point for completing a financial model similar to those you will need to complete for funding applications. Additional instructions, descriptions and contextual information is included to help you. 
The tool consists of 5 worksheets intended to be completed in the following order:
-</t>
    </r>
    <r>
      <rPr>
        <b/>
        <sz val="12"/>
        <rFont val="Arial"/>
        <family val="2"/>
      </rPr>
      <t>Development Costs</t>
    </r>
    <r>
      <rPr>
        <sz val="12"/>
        <rFont val="Arial"/>
        <family val="2"/>
      </rPr>
      <t>:Captures the costs to develop your project.
-</t>
    </r>
    <r>
      <rPr>
        <b/>
        <sz val="12"/>
        <rFont val="Arial"/>
        <family val="2"/>
      </rPr>
      <t>Operating Pro Forma</t>
    </r>
    <r>
      <rPr>
        <sz val="12"/>
        <rFont val="Arial"/>
        <family val="2"/>
      </rPr>
      <t>: Summarizes a rental project's bedroom distribution, income targets, operating income and expenses.
-</t>
    </r>
    <r>
      <rPr>
        <b/>
        <sz val="12"/>
        <rFont val="Arial"/>
        <family val="2"/>
      </rPr>
      <t>Permanent Financing Sources</t>
    </r>
    <r>
      <rPr>
        <sz val="12"/>
        <rFont val="Arial"/>
        <family val="2"/>
      </rPr>
      <t>: Captures all permanent sources of funds for the development of this project.
-</t>
    </r>
    <r>
      <rPr>
        <b/>
        <sz val="12"/>
        <rFont val="Arial"/>
        <family val="2"/>
      </rPr>
      <t>Sources and Uses Statement</t>
    </r>
    <r>
      <rPr>
        <sz val="12"/>
        <rFont val="Arial"/>
        <family val="2"/>
      </rPr>
      <t>: Used to show which funding sources will pay for which project development costs.
-</t>
    </r>
    <r>
      <rPr>
        <b/>
        <sz val="12"/>
        <rFont val="Arial"/>
        <family val="2"/>
      </rPr>
      <t>15 Year Operating Pro Forma</t>
    </r>
    <r>
      <rPr>
        <sz val="12"/>
        <rFont val="Arial"/>
        <family val="2"/>
      </rPr>
      <t xml:space="preserve">: Captures income, expenses and cash flow over a 15 year period.
Following the instructions in each of these tabs will help you understand the financial feasibility of your development and prepare you to adapt the detailed information for funding application templates.
This tool was created by Enterprise Community Partners in 2022 as part of the Faith Based Development Guide. It is a modified version of a financial model created for the Native Housing Developers Guide. </t>
    </r>
  </si>
  <si>
    <t>Instructions</t>
  </si>
  <si>
    <t>Each worksheet in this workbook contains a set of instructions located in a purple-shaded box on the right side of the sheet. Depending on the size of your monitor, you may need to scroll over to the right to see this box. 
Cells shaded in yellow are those you should input values into if they are relevant to your project. Hovering your mouse over the label for these cells will display a note containing additional information and guidance.
Note that when using another template, you may see line items categorized or aggregated differently, so you will need to pay close attention to both what is there and what is missing. Make sure key numbers like your total development cost, net operating income and total sources of funding match, even if there are some variations in costs by category or other subtotals due to differences in templates.</t>
  </si>
  <si>
    <t>Project Name:</t>
  </si>
  <si>
    <t>Sample</t>
  </si>
  <si>
    <t>INSTRUCTIONS FOR THIS WORKSHEET</t>
  </si>
  <si>
    <t>Date of Model Version</t>
  </si>
  <si>
    <t>This worksheet asks for the costs to develop your project.  The worksheet will calculate your total development budget, as well as the cost per square foot and per unit.  This includes all hard and soft costs.  For each subcategory of expense, there is an extra line to add additional cost categories.  To identify the new line item, please type over the "other" label in these cells and add your own cost category.
At the top of the page is a chart that shows Total Square Feet in Units, etc.  Most of these values will automatically be read into this page from the Operating Proforma worksheet.  Add any non-residential square footage in Cell H6.  The worksheet will calculate the total square footage of the project in Cell H7.
Enter the project development cost data in the yellow cells in column C.  For each cost category, the worksheet will calculate a subtotal. The Total Develoment Expense is calculated in Cell C70.
The worksheet will calculate the cost per unit and cost per square foot for each line in Columns D and E.
The last chart on this page calculates the hard cost, land cost and soft cost per square foot and per unit, and the percentage of hard &amp; soft costs.</t>
  </si>
  <si>
    <t xml:space="preserve">Development Costs </t>
  </si>
  <si>
    <t>Development Costs by Line Item</t>
  </si>
  <si>
    <t>Total Cost</t>
  </si>
  <si>
    <t>Cost/Unit</t>
  </si>
  <si>
    <t>Cost/Sq Ft</t>
  </si>
  <si>
    <t>Total Square Feet in Units</t>
  </si>
  <si>
    <t>ACQUISITION COSTS</t>
  </si>
  <si>
    <t>Non Living Square Footage</t>
  </si>
  <si>
    <t xml:space="preserve">Land </t>
  </si>
  <si>
    <t>Total Project Square Feet</t>
  </si>
  <si>
    <t>Existing Structures *</t>
  </si>
  <si>
    <t>Number of Units</t>
  </si>
  <si>
    <t>SUBTOTAL</t>
  </si>
  <si>
    <t>SITE IMPROVEMENTS</t>
  </si>
  <si>
    <t>Off Site Infrastructure *</t>
  </si>
  <si>
    <t>On Site Infrastructure *</t>
  </si>
  <si>
    <t>Demolition*</t>
  </si>
  <si>
    <t>CONSTRUCTION</t>
  </si>
  <si>
    <t>Building Permit Fees *</t>
  </si>
  <si>
    <t>Tap Fees *</t>
  </si>
  <si>
    <t>Construction  / Rehabilitation *</t>
  </si>
  <si>
    <t>Landscaping *</t>
  </si>
  <si>
    <t>Contingency *</t>
  </si>
  <si>
    <t>% of construction</t>
  </si>
  <si>
    <t>Other (please specify) *</t>
  </si>
  <si>
    <t>PROFESSIONAL FEES</t>
  </si>
  <si>
    <t>Architect Fees</t>
  </si>
  <si>
    <t>Engineering Fees</t>
  </si>
  <si>
    <t>Real Estate Attorney Fees</t>
  </si>
  <si>
    <t>Soils Tests</t>
  </si>
  <si>
    <t>Surveys</t>
  </si>
  <si>
    <t>Green Planning and Design Fees</t>
  </si>
  <si>
    <t>Other (please specify)</t>
  </si>
  <si>
    <t>CONSTRUCTION FINANCE</t>
  </si>
  <si>
    <t>Construction Insurance</t>
  </si>
  <si>
    <t>Construction Loan Orig. Fee</t>
  </si>
  <si>
    <t>Construction Interest</t>
  </si>
  <si>
    <t>Attorney Fees</t>
  </si>
  <si>
    <t>Title and Recording</t>
  </si>
  <si>
    <t xml:space="preserve">PERMANENT FINANCE AND SYNDICATION </t>
  </si>
  <si>
    <t>Loan Fees &amp; Expenses</t>
  </si>
  <si>
    <t>LIHTC Fees</t>
  </si>
  <si>
    <t>SOFT COSTS</t>
  </si>
  <si>
    <t>Appraisals &amp; Market Study</t>
  </si>
  <si>
    <t>Environmental Reports</t>
  </si>
  <si>
    <t>Capital Needs Assessment</t>
  </si>
  <si>
    <t>Temporary Relocation</t>
  </si>
  <si>
    <t>Permanent Relocation</t>
  </si>
  <si>
    <t>Taxes During Construction</t>
  </si>
  <si>
    <t>Marketing</t>
  </si>
  <si>
    <t>Soft Cost Contingency</t>
  </si>
  <si>
    <t>DEVELOPER FEE / PROFIT</t>
  </si>
  <si>
    <t>Developer's Fee</t>
  </si>
  <si>
    <t>Consultants</t>
  </si>
  <si>
    <t>Admininstration Fee</t>
  </si>
  <si>
    <t>SUBTOTAL (ie - maximum developer fee)</t>
  </si>
  <si>
    <t>% of Total (less Dev. Fee, reserves and acquisition)</t>
  </si>
  <si>
    <t>RESERVES</t>
  </si>
  <si>
    <t>Operating Reserve</t>
  </si>
  <si>
    <t>Debt Service Reserve</t>
  </si>
  <si>
    <t>months of debt &amp; expenses</t>
  </si>
  <si>
    <t>Lease-up Reserve</t>
  </si>
  <si>
    <t>Replacement Reserve</t>
  </si>
  <si>
    <t>TOTAL DEVELOPMENT EXPENSES</t>
  </si>
  <si>
    <t>TOTAL HOME ELIGIBLE EXPENSES</t>
  </si>
  <si>
    <t>Hard Cost Per Unit</t>
  </si>
  <si>
    <t>Land Cost Per Unit</t>
  </si>
  <si>
    <t>Soft Cost Per Unit</t>
  </si>
  <si>
    <t>Hard Cost Per Square Foot</t>
  </si>
  <si>
    <t>Soft Cost Per Square Foot</t>
  </si>
  <si>
    <t>*costs included in hard cost evaluation.</t>
  </si>
  <si>
    <t>The Operating Pro Forma worksheet is designed to summarize a rental project's bedroom distribution, income targets, operating income and expenses, and to show its debt coverage ratio.  It can be modified for homeownership projects.
Enter the project's bedroom/bathroom configurations, target AMI's, number of units, square footage, and monthly rents in Cells A7 - E22. Add any other income to Cells F25 - F27.  The vacancy factor should be added in C29.  This needs to be expressed as a decimal.  For example, 7% would be .07.
The Break Even Point and Debt Coverage Ratio are automatically calculated once you enter all of the Operating Pro Forma information. The mortgage amounts in Cells F33 through F35 are read into this schedule from the Permanent Financing Sources worksheet.
Next, enter your project's expense data in Cells H7 through H31.  You need only enter data for the expenses that pertain to your specific project, however, if you use the "Other" lines, please provide an explaination.  The worksheet will automatically calculate the PUPA (Per Unit Per Annum expenses) for you.
Cells I7 &amp; I16 calculate the management fee and total management expenses as a percent of total income.  Cells J30 and J31 calculate the PUPA for operating and replacement reserves.</t>
  </si>
  <si>
    <t>Operating Pro Forma</t>
  </si>
  <si>
    <t>STABILIZED FIRST YEAR INCOME</t>
  </si>
  <si>
    <t>EXPENSES</t>
  </si>
  <si>
    <t>Bd/Bath</t>
  </si>
  <si>
    <t>% AMI</t>
  </si>
  <si>
    <t>#of units</t>
  </si>
  <si>
    <t>Sq. Ft.</t>
  </si>
  <si>
    <t>Monthly Rent</t>
  </si>
  <si>
    <t>Total Annual Rent</t>
  </si>
  <si>
    <t>Administrative Expenses</t>
  </si>
  <si>
    <t>Management Fee</t>
  </si>
  <si>
    <t>Salaries and Benefits</t>
  </si>
  <si>
    <t>FTE</t>
  </si>
  <si>
    <t>Legal &amp; Accounting</t>
  </si>
  <si>
    <t>Advertising</t>
  </si>
  <si>
    <t>Office Supplies</t>
  </si>
  <si>
    <t>Telephone</t>
  </si>
  <si>
    <t>Audit</t>
  </si>
  <si>
    <t>Total Administrative</t>
  </si>
  <si>
    <t>Operating Expenses</t>
  </si>
  <si>
    <t xml:space="preserve">Utilities </t>
  </si>
  <si>
    <t>PUPM</t>
  </si>
  <si>
    <t>Trash Removal</t>
  </si>
  <si>
    <t>Total Operating</t>
  </si>
  <si>
    <t>Maintenance Expenses</t>
  </si>
  <si>
    <t>Maintenance Supplies</t>
  </si>
  <si>
    <t>Total units</t>
  </si>
  <si>
    <t>Total Rent Income</t>
  </si>
  <si>
    <t>Repairs</t>
  </si>
  <si>
    <t>Total rental sq ft</t>
  </si>
  <si>
    <t>Extermination</t>
  </si>
  <si>
    <t>Parking Income</t>
  </si>
  <si>
    <t>Grounds (inc. snow removal)</t>
  </si>
  <si>
    <t>Laundry Income</t>
  </si>
  <si>
    <t>Other (elevator, etc.)</t>
  </si>
  <si>
    <t>Other Income (explain)</t>
  </si>
  <si>
    <t>Total Maintenance</t>
  </si>
  <si>
    <t>Total Income</t>
  </si>
  <si>
    <t>Other Expenses</t>
  </si>
  <si>
    <t>Vac. Rate</t>
  </si>
  <si>
    <t>Less Vacancy</t>
  </si>
  <si>
    <t>Real Estate Taxes</t>
  </si>
  <si>
    <t>Effective Gross Income</t>
  </si>
  <si>
    <t>Property Insurance</t>
  </si>
  <si>
    <t>unit avg.=</t>
  </si>
  <si>
    <t>DEBT SERVICE</t>
  </si>
  <si>
    <t>1st Mortgage</t>
  </si>
  <si>
    <t>Total Other</t>
  </si>
  <si>
    <t>2nd Mortgage</t>
  </si>
  <si>
    <t>TOTAL ANNUAL EXPENSES</t>
  </si>
  <si>
    <t>3rd Mortgage</t>
  </si>
  <si>
    <t>NET OPERATING INCOME</t>
  </si>
  <si>
    <t>TOTAL DEBT SERVICE</t>
  </si>
  <si>
    <t>P.U.P.A. Expenses *</t>
  </si>
  <si>
    <t>BEP</t>
  </si>
  <si>
    <t>Poss D/S @ 1.15 DCR</t>
  </si>
  <si>
    <t xml:space="preserve">     * P.U.P.A = Per Unit Per Annum Expenses</t>
  </si>
  <si>
    <t>BEP = Break Even Point</t>
  </si>
  <si>
    <t>Project Debt Coverage Ratio</t>
  </si>
  <si>
    <t xml:space="preserve"> Utilities included in rent?  Y/N</t>
  </si>
  <si>
    <t>Poss D/S @ 1.15 DCR = Possible Debt Service at a 1.15 Debt Coverage Ratio</t>
  </si>
  <si>
    <t xml:space="preserve">If yes, what utilities included in rent? </t>
  </si>
  <si>
    <t xml:space="preserve">  </t>
  </si>
  <si>
    <t>The Permanent Financing Sources worksheet asks for all permanent sources of funds for the development of this project.  The financing sources on this page should equal your total development costs (shown in Cell D5), so that the GAP/SURPLUS (cell D57) is zero.
First, enter data on all permanent loans (mortgages) into the cells in column D.  As on the Operating Pro Forma worksheet, express the interest rate as a decimal (7% is expressed as .07).
The box on the right side analyzes where your sources are from.  For example, is this project mostly paid for through public sources? Or is it primarily privately funded?  To determine the amount of permanent financing that is federal, tax exempt, or conventional, enter the code for each type of loan into Cells D9, D16, and D23.  The codes are listed in Cells I6 through I8.
The "Quick Calculation of Mortage Principle" worksheet allows you to do a quick, basic estimate of the project's permanent debt capacity based on the capitalization rate or an appraised value. The program then gives you an estimated maximum mortgage amount, which can be used when entering preliminary permanent loan date.
In the Tax Credit Equity section, enter estimates for the credits you expect to receive. If you have a tax credit application or a commitment letter from a tax credit investor, then enter the estimated amount of tax credit equity from those documents.
Next, enter any grants the project expects to use for development, and specify their sources in Cells B38 thru B47. Donated land, materials, waived fees, etc. should be included (as long as you have also accounted for the costs in the Development Costs worksheet).
Owner equity is entered in cells D51 &amp; D54. This allows for a cash-on-cash return on investment calculation in the 15 Year Operating Pro Forma.  
Once you have entered all of your sources of funds, check the total to make sure that your sources equals your total development costs.  Any difference will be shown as a GAP/SURPLUS in Cell D57.
The Break Even Point, Debt Coverage Ratio, and Possible Debt Service at a 1.15 DCR for the first mortgage are calculated for you at the bottom of the page.  As you adjust the sources of funds, you can see how they affect each of these items.
Enter your local capitalization rate ("Cap Rate") in Cell I23.  This should be expressed as a decimal. You can get it from a local lender or your appraisal.  The capitalization rate is a commonly used tool to calculate the fair market value of a project to the developer.</t>
  </si>
  <si>
    <t>Permanent Financing Sources</t>
  </si>
  <si>
    <t>TOTAL DEVELOPMENT COSTS:</t>
  </si>
  <si>
    <t>SOURCES OF FUNDS</t>
  </si>
  <si>
    <t>Types of Loans:</t>
  </si>
  <si>
    <t>C = Conventional</t>
  </si>
  <si>
    <t>HARD DEBT</t>
  </si>
  <si>
    <t>FIRST MORTGAGE</t>
  </si>
  <si>
    <t>T = Tax-Exempt</t>
  </si>
  <si>
    <t xml:space="preserve">Lender- </t>
  </si>
  <si>
    <t>F = Federal Financing</t>
  </si>
  <si>
    <t xml:space="preserve">Type of Loan </t>
  </si>
  <si>
    <t>F</t>
  </si>
  <si>
    <t>Principal</t>
  </si>
  <si>
    <t>Financing Sources:</t>
  </si>
  <si>
    <t>Total</t>
  </si>
  <si>
    <t>% of Total</t>
  </si>
  <si>
    <t>Interest Rate</t>
  </si>
  <si>
    <t>Conventional (C)</t>
  </si>
  <si>
    <t>Term (years)</t>
  </si>
  <si>
    <t>Tax Exempt (T)</t>
  </si>
  <si>
    <t>Annual Payment</t>
  </si>
  <si>
    <t>DCR</t>
  </si>
  <si>
    <t>Federal Financing (F)</t>
  </si>
  <si>
    <t>Tax Credits</t>
  </si>
  <si>
    <t>SECOND MORTGAGE</t>
  </si>
  <si>
    <t>Government Grants</t>
  </si>
  <si>
    <t>Lender- CDFI</t>
  </si>
  <si>
    <t>Other Grants</t>
  </si>
  <si>
    <t>Type of Loan</t>
  </si>
  <si>
    <t>Owner Equity</t>
  </si>
  <si>
    <t>GAP</t>
  </si>
  <si>
    <t>TOTAL SOURCES</t>
  </si>
  <si>
    <t xml:space="preserve">Quick Calculation of Mortgage Principal </t>
  </si>
  <si>
    <t xml:space="preserve">NOI </t>
  </si>
  <si>
    <t>THIRD MORTGAGE</t>
  </si>
  <si>
    <t>Cap Rate</t>
  </si>
  <si>
    <t xml:space="preserve"> </t>
  </si>
  <si>
    <t>Lender</t>
  </si>
  <si>
    <t>Value at Cap Rate</t>
  </si>
  <si>
    <t>LVR</t>
  </si>
  <si>
    <t>Maximum Loan Amount</t>
  </si>
  <si>
    <t>Appraised Value</t>
  </si>
  <si>
    <t>TC EQUITY</t>
  </si>
  <si>
    <t>TAX CREDIT EQUITY</t>
  </si>
  <si>
    <t>9% LIHTC Proceeds</t>
  </si>
  <si>
    <t>4% LIHTC Proceeds</t>
  </si>
  <si>
    <t>Historic Tax Credits</t>
  </si>
  <si>
    <t>GRANTS &amp; SOFT DEBT</t>
  </si>
  <si>
    <t>GOVERNMENT GRANTS AND SOFT DEBT</t>
  </si>
  <si>
    <t>Source</t>
  </si>
  <si>
    <t>LHC</t>
  </si>
  <si>
    <t>Amount</t>
  </si>
  <si>
    <t>per unit</t>
  </si>
  <si>
    <t>USDA 516 Grant</t>
  </si>
  <si>
    <t>OTHER GRANTS (NON-GOVERNMENTAL)</t>
  </si>
  <si>
    <t/>
  </si>
  <si>
    <t>FHLB- AHP</t>
  </si>
  <si>
    <t>OWNER</t>
  </si>
  <si>
    <t>OWNER EQUITY</t>
  </si>
  <si>
    <t>Deferred Dev. Fee</t>
  </si>
  <si>
    <t>kept</t>
  </si>
  <si>
    <t>GAP (SURPLUS)</t>
  </si>
  <si>
    <t>DCR = Debt Coverage Ratio</t>
  </si>
  <si>
    <t>Cap Rate = Capitalization Rate</t>
  </si>
  <si>
    <t>This budget is used to show which funding sources will pay for which project development costs.
Please modify Column A, Project Activities, to match your project.  The "Total Project Cost" column can be linked to the Development Costs worksheet. 
Fill in the amount of "State Funds Requested" on the appropriate row in column D, and "Other Funds" in column E.  Use column F to name the other sources.  If more than one source will be applied to one project activity, then insert a row or rows.  Make sure that for each activity, the sources add up to that activity's cost.
In column G, indicate the status of those other funding sources as either "pending" or "committed."
OPTIONAL: Cells C16 and C17 will help you to check your work - they should both equal Cell B15.</t>
  </si>
  <si>
    <t>Sources &amp; Uses Budget</t>
  </si>
  <si>
    <t>Project Activities</t>
  </si>
  <si>
    <t>Total Project Cost</t>
  </si>
  <si>
    <t>Funds Requested</t>
  </si>
  <si>
    <t>Total Other Funds</t>
  </si>
  <si>
    <t>Status</t>
  </si>
  <si>
    <t>Acquisition Costs</t>
  </si>
  <si>
    <t>committed</t>
  </si>
  <si>
    <t>Site Improvements</t>
  </si>
  <si>
    <t>pending</t>
  </si>
  <si>
    <t>Construction</t>
  </si>
  <si>
    <t>Professional Fees</t>
  </si>
  <si>
    <t>Construction Finance</t>
  </si>
  <si>
    <t>Permanent Finance and Syndication</t>
  </si>
  <si>
    <t>Soft Costs</t>
  </si>
  <si>
    <t>Developer Fee / Profit</t>
  </si>
  <si>
    <t>Reserves</t>
  </si>
  <si>
    <t>Totals</t>
  </si>
  <si>
    <t>This worksheet produces a 15-year operating pro forma.  Most information is read in from the previous worksheets.
The table projects all income and exprenses over a 15 year period to produce a NET OPERATING INCOME, and CASH FLOW.  The only information which must be entered in this box is any bridge loan debt service that the project will pay if tax credits will be paid in over time.  If the project will incur such costs, enter the annual debt service in Cells D14 through R14.  The program automatically uses an inflation factor of 2% for Rent Income, 2% for Other Income, &amp; 3% for Total Annual Expenses.
The second section of the table allows you to think through obligations you will have that will need to be paid out of your cash flow. Depending on the nature of your development, these may include fees that you will collect yourself as the developer and funds that will need to be paid or distributed to others.</t>
  </si>
  <si>
    <t>15-Year Operating Proforma</t>
  </si>
  <si>
    <t>YEAR 1</t>
  </si>
  <si>
    <t>YEAR 2</t>
  </si>
  <si>
    <t>YEAR 3</t>
  </si>
  <si>
    <t>YEAR 4</t>
  </si>
  <si>
    <t>YEAR 5</t>
  </si>
  <si>
    <t>YEAR 6</t>
  </si>
  <si>
    <t>YEAR 7</t>
  </si>
  <si>
    <t>YEAR 8</t>
  </si>
  <si>
    <t>YEAR 9</t>
  </si>
  <si>
    <t>YEAR 10</t>
  </si>
  <si>
    <t>YEAR 11</t>
  </si>
  <si>
    <t>YEAR 12</t>
  </si>
  <si>
    <t>YEAR 13</t>
  </si>
  <si>
    <t>YEAR 14</t>
  </si>
  <si>
    <t>YEAR 15</t>
  </si>
  <si>
    <t>Rent Income - increasing by</t>
  </si>
  <si>
    <t>Other Income - increasing by</t>
  </si>
  <si>
    <t>Eff. Gross Income</t>
  </si>
  <si>
    <t>Total Annual Expenses - inc. by</t>
  </si>
  <si>
    <t>Total Debt Service</t>
  </si>
  <si>
    <t>Bridge Loan Debt Service</t>
  </si>
  <si>
    <t>Cash flow Available</t>
  </si>
  <si>
    <t>Debt Coverage Ratio</t>
  </si>
  <si>
    <t>Projected Payments from Cashflow</t>
  </si>
  <si>
    <t>Deferred Developer Fees</t>
  </si>
  <si>
    <t>Soft Debt #1</t>
  </si>
  <si>
    <t>Soft Debt #2</t>
  </si>
  <si>
    <t>Partnership Management Fees</t>
  </si>
  <si>
    <t>Asset Management Fees</t>
  </si>
  <si>
    <t xml:space="preserve"> * Cash Flow over years 1-10</t>
  </si>
  <si>
    <t xml:space="preserve"> * Cash Flow over 15 years</t>
  </si>
  <si>
    <t>Item Description</t>
  </si>
  <si>
    <t>The total cost to purchase or acquire a long-term lease for the land you will use for your development.</t>
  </si>
  <si>
    <t>The total cost to purchase or acquire a long-term lease for any existing structures on the site</t>
  </si>
  <si>
    <t>The total cost of acquiring all land and structures.</t>
  </si>
  <si>
    <t>This category includes the costs of infrastructure that will be developed outside the site boundary such as improvements to roads and sidewalks or utility work to connect the site to other infrastructure. The costs of this will vary with the scope of the improvements needed.</t>
  </si>
  <si>
    <t>On-site infrastructure includes site improvements beyond the building itself such as utility connections, walkways, roads, drains and other improvements. This will vary across sites and costs will scale with the scope of improvements needed.</t>
  </si>
  <si>
    <t>The cost of demolishing any existing structures on the site. Demolition costs will vary with the scale and type of structure that must be demolished and cleared from the site and will need to be estimated by a qualified contractor.</t>
  </si>
  <si>
    <t>The total cost of improvements needed for the site (not including construction on the primary buildings)</t>
  </si>
  <si>
    <t xml:space="preserve">The fees associated with obtaining building permits from local jurisdictions. These costs may be listed on the City or County governments websites or be available upon request. </t>
  </si>
  <si>
    <t>Tap Fees * / Impact Fees *</t>
  </si>
  <si>
    <t>Tap fees are charged by local governments to connect a site to a municipal water source. The fee will typically vary based on the size of the piping and/or the type of development (e.g., residential or commercial). Impact fees are a more general fee charged by local governments to cover other types of broader infrastructure and resource impacts of development.</t>
  </si>
  <si>
    <t>Construction / Rehabilitation *</t>
  </si>
  <si>
    <t>This is the total cost of construction or rehabilitation. Your general contractor can help you estimate these costs based on your scope of work.</t>
  </si>
  <si>
    <t>Landscaping</t>
  </si>
  <si>
    <t>The costs for all landscaping that will need to be done in order to put the property into operation. This should not include any landscaping expenses you expect to incur while operating your property - these will be reflected in your operating pro forma worksheet.</t>
  </si>
  <si>
    <t>Contingency</t>
  </si>
  <si>
    <t>Cash set aside within the contractor's budget to cover unaccounted for costs within the construction scope of work, such as those that are unexpected or where there is variation between expected and actual construction costs. Your contractor will estimate this based on the nature of the scope of work and the uncertainty involved.</t>
  </si>
  <si>
    <t>Other (Devo specify)</t>
  </si>
  <si>
    <t>Any other costs you anticipate incurring as part of construction.</t>
  </si>
  <si>
    <t>The total construction costs for your development. This will typically account for 50 to 70 percent of your total development budget.</t>
  </si>
  <si>
    <t>The fees charged by your architect. Fees will vary based on the scope of work.</t>
  </si>
  <si>
    <t>The fees charged for engineering services.</t>
  </si>
  <si>
    <t>The cost for legal services such as those associated with the acquisition of your site. Attorney's typically charge by the hour, so fees can vary depending on the complexity and types of tasks you need them to perform.</t>
  </si>
  <si>
    <t>Soil Tests</t>
  </si>
  <si>
    <t>The cost of tests associated with testing soil strength to support your development's foundation.</t>
  </si>
  <si>
    <t>The fees for surveys such as those seeking to establish the property's boundaries and easements.</t>
  </si>
  <si>
    <t>The costs of any green building consultants or other professionals focused on bringing a sustainability lens to your development</t>
  </si>
  <si>
    <t>The cost of any additional services you will utilize.</t>
  </si>
  <si>
    <t>The total costs for all professional fees prior to and during construction.</t>
  </si>
  <si>
    <t>Also called Builder's Risk Insurance, this is a type of property insurance that protects you, your general contractor, lender and potentially other parties from risks associated with buildings under construction. An insurance agent or broker can give you a cost estimate for this expense.</t>
  </si>
  <si>
    <t>A fee charged by your lender to cover the cost of administration and underwriting during loan origination. Your lender will provide this information as part of your construction loan terms.</t>
  </si>
  <si>
    <t>The cost of interest for your construction loan, calculated as a percentage of the total loan amount. This will be provided as part of your loan terms by your lender.</t>
  </si>
  <si>
    <t>The costs of any legal fees associated with the closing of your construction financing.</t>
  </si>
  <si>
    <t>Costs associated with the title search, title insurance, transfer taxes and other expenses associated with closing your construction loan. Your lender or title company can provide an estimate of these costs.</t>
  </si>
  <si>
    <t>Any other costs associated with construction financing and fees not covered above.</t>
  </si>
  <si>
    <t>The total costs for all construction financing and fees.</t>
  </si>
  <si>
    <t>Fees and other expenses such as origination fees or other upfront costs associated with your permanent financing loan. Note that this should not include any interest unless you are paying some form of interest or points with the loan origination. This information will be available from your permanent financing lender.</t>
  </si>
  <si>
    <t xml:space="preserve">Fees associated with any tax credits your development will utilize. </t>
  </si>
  <si>
    <t>The costs of any legal fees associated with the closing of your permanent financing.</t>
  </si>
  <si>
    <t>Costs associated with the title search, title insurance, transfer taxes and other expenses associated with closing your permanent financing. Your lender or title company can provide an estimate of these costs.</t>
  </si>
  <si>
    <t>Any other costs associated with your permanent financing.</t>
  </si>
  <si>
    <t>The total costs for your permanent financing.</t>
  </si>
  <si>
    <t>The cost of appraisal services and professional market study preparation. These costs should be provided by the companies you select for these services.</t>
  </si>
  <si>
    <t>The costs associated with your Phase I environmental assessment and any other environmental studies you are required to do.</t>
  </si>
  <si>
    <t>The cost of the assessment itself, which estimates the future costs of property maintenance so that you can create your operating budget or pro forma model.</t>
  </si>
  <si>
    <t>Temporary Relocation (Devo specify)</t>
  </si>
  <si>
    <t>The cost associated with relocating any current tenants you will temporarily displace during construction. Costs will vary with the length of displacement.</t>
  </si>
  <si>
    <t>Permanent Relocation (Devo specify)</t>
  </si>
  <si>
    <t>The cost associated with permanently relocating any current tenants who will not be able to return to the property post-construction.</t>
  </si>
  <si>
    <t>The cost of marketing your development to prospective tenants.</t>
  </si>
  <si>
    <t>Cash that is set aside to cover unexpected soft costs associated with your project. For example, if your project ends up requiring more intensive environmental assessment than you expected. This is typically 3 percent of your total soft costs.</t>
  </si>
  <si>
    <t>Any other soft costs you incur during development.</t>
  </si>
  <si>
    <t>The total amount of all soft-costs.</t>
  </si>
  <si>
    <t>The fee that you will collect in the development to cover your own costs and profit. Enter the full amount of the fee, even if you intend to defer all or a portion of it.</t>
  </si>
  <si>
    <t>The fees of any additional consultants that are part of your project team, such as a more experienced developer that you are working with to help you through the process or the cost of contractors that you bring on to fill in gaps in your staffing that will come out of your effective development fee.</t>
  </si>
  <si>
    <t>Administration Fee</t>
  </si>
  <si>
    <t>Any fee associated with project administration tasks or services the developer will provide.</t>
  </si>
  <si>
    <t>Your total effective developer fee (this is typically between 5 and 20 percent of the Total Development Cost)</t>
  </si>
  <si>
    <t>Cash that is set aside to cover the costs of operating your development for a specified period of time (typically 6 months) should your operating income be insufficient to cover costs for some reason (e.g. due to vacancies)</t>
  </si>
  <si>
    <t>Cash that is set aside to cover debt service for a specified period of time (typically 6 or 12 months) should your operating income be insufficient due to temporary vacancies or other reasons.</t>
  </si>
  <si>
    <t>Cash that is set aside to cover rents not collected during the lease-up period</t>
  </si>
  <si>
    <t>Cash that is set aside up front to cover the replacement of major building systems should they fail.</t>
  </si>
  <si>
    <t>Any other reserve you want to account for</t>
  </si>
  <si>
    <t>The total amount of all reserves</t>
  </si>
  <si>
    <t>The total estimated development cost</t>
  </si>
  <si>
    <t>Description</t>
  </si>
  <si>
    <t>The number of bedrooms and bathrooms in a given floorplan</t>
  </si>
  <si>
    <t>The dollar amount of state funds you are requesting.</t>
  </si>
  <si>
    <t># of units</t>
  </si>
  <si>
    <t>The amounts of all other funding sources you intend to use for this activity. You can insert a new row if you have multiple funding sources associated with the activity.</t>
  </si>
  <si>
    <t>The name of the organization and/or program providing each funding amount.</t>
  </si>
  <si>
    <t>The monthly rent you will collect from this unit, inclusive of any unit or household-based vouchers you expect. If you pay for any utilities at the property level, include the amount you will collect for utilities from your tenants.</t>
  </si>
  <si>
    <t>The total rent that will be collected annually for this floorplan (assuming no vacancy)</t>
  </si>
  <si>
    <t>The total annual cost of your property manager</t>
  </si>
  <si>
    <t>The annual salaries and benefits associated with any administrative staff you maintain for the property (or a pro-rated share of these for staff split across multiple properties)</t>
  </si>
  <si>
    <t xml:space="preserve">Any legal and accounting fees you pay annually. </t>
  </si>
  <si>
    <t>The annual cost of marketing your development to new tenants.</t>
  </si>
  <si>
    <t>Any asset management fees you must pay. Note that some a</t>
  </si>
  <si>
    <t>The annual cost of telephone and internet service for any administrative functions at your property.</t>
  </si>
  <si>
    <t>The annual cost of audit services for this property.</t>
  </si>
  <si>
    <t>Any other administrative costs you anticipate as part of operating this property.</t>
  </si>
  <si>
    <t>The total cost of all administrative services for your development</t>
  </si>
  <si>
    <t>The total annual cost of all utilities you will pay for the property, including those you pay on behalf of tenants. For example, if your development has a single meter for water and all tenants are charged a share of this as part of their rent payment, this would be included here.</t>
  </si>
  <si>
    <t>The annual cost of trash removal service for the development, if any.</t>
  </si>
  <si>
    <t>Any other administrative costs you anticipate as part of operating this property (annually).</t>
  </si>
  <si>
    <t>The total operating cost of the property</t>
  </si>
  <si>
    <t>The total annual cost of materials required to maintain the units. For example, the cost of new plumbing fixtures, paint or windows.</t>
  </si>
  <si>
    <t>Maint. Salaries, Repairs, and Contracts</t>
  </si>
  <si>
    <t>The total annual cost of maintenance staff you maintain or contract services for.</t>
  </si>
  <si>
    <t>The total average annual cost of any extermination services you use.</t>
  </si>
  <si>
    <t>The total annual cost of any other landscaping, snow removal and other services you pay for to maintain the landscaping and grounds of the property.</t>
  </si>
  <si>
    <t>Any other annual maintenance expenses you incur in operating your property.</t>
  </si>
  <si>
    <t>Your total annual maintenance expenses for the property.</t>
  </si>
  <si>
    <t>Total annual real estate taxes for the property.</t>
  </si>
  <si>
    <t>The total amount of property insurance for this property.</t>
  </si>
  <si>
    <t>The annual contributions to your replacement reserve to cover the replacement of major building systems when needed.</t>
  </si>
  <si>
    <t>Any other annual expenses you expect to pay annually on this property.</t>
  </si>
  <si>
    <t>Any other expenses you expect to pay for this property.</t>
  </si>
  <si>
    <t xml:space="preserve">The total annual operating expenses for this property </t>
  </si>
  <si>
    <t>The total annual income for this property minus the total annual expenses for the property.</t>
  </si>
  <si>
    <t>The per unit per annum expenses - the total amount you pay in operating expenses each year divided by the number of units at the property.</t>
  </si>
  <si>
    <t>MORTGAGES</t>
  </si>
  <si>
    <t>The permanent loans you will have for your development.</t>
  </si>
  <si>
    <t>The annual interest rate for the loan.</t>
  </si>
  <si>
    <t>The number of years over which your loan will be paid back, assuming no property sale or refinancing.</t>
  </si>
  <si>
    <t xml:space="preserve">The calculated annual payment based on the information above. Note that the formula used assumes an amortized loan. If one of your loans is an interest only loan, you will need to modify this formula. </t>
  </si>
  <si>
    <t>Funding that comes from Housing Tax Credit or Historic Tax Credit programs.</t>
  </si>
  <si>
    <t>Government funding sources that you do not expect to have to pay back.</t>
  </si>
  <si>
    <t>All other funding sources that you do not expect to have to pay back.</t>
  </si>
  <si>
    <t>Amounts your organization or other organizations are investing in the property in the form of equity.</t>
  </si>
  <si>
    <t>Deferred Developer Fee</t>
  </si>
  <si>
    <t>If you are deferring your developer fee (i.e., collecting the fee from project cash flows over time instead of upfront), this will effectively count as a funding source. This is because your developer fee will still be reflected in the development costs worksheet as a cost.</t>
  </si>
  <si>
    <t>The total amount of all funding sources listed.</t>
  </si>
  <si>
    <t>The difference (gap or surplus) between the total development costs and the total sources. If you have a gap, you will need to find additional funding to cover the gap.</t>
  </si>
  <si>
    <t>This section is used to help you determine the maximum loan that is possible for your property based on the maximum loan to value ratio a lender or loan product will allow. Two methods are provided. The first uses the net operating income and an assumed cap rate to estimate the resulting development's value. The second relies on an existing appraised value.</t>
  </si>
  <si>
    <t xml:space="preserve">The Net Operating Income of your development once it is stabilized - the property's total income less vacancy loss and operating expenses. This value is pulled from the Operating Pro Forma worksheet.  </t>
  </si>
  <si>
    <t>The capitalization rate or cap rate is the ratio of the property's net operating income to the total value of the property (e.g., the expected sale price if it were to be sold). It is expressed as a percentage. Different housing and real estate markets will have different cap rates. If you have completed your market study, it should include this information. If you haven't, you can look at commercial real estate listings in the area to see if cap rates are reported or to calculate it yourself by comparing the property's income to the list or recent sales price.</t>
  </si>
  <si>
    <t>Given the cap rate you supplied, this is the estimated value of your completed development. This is important for a lender to understand so that they can understand the risk associated with their loan.</t>
  </si>
  <si>
    <t>The loan to value ratio. In this case this number represents the maximum LVR a lender or loan product will be willing to support.</t>
  </si>
  <si>
    <t>The maximum loan amount possible using the NOI and cap rate valuation method</t>
  </si>
  <si>
    <t>If you have an appraisal of the development that reflects the completed development, this is the best method to use.</t>
  </si>
  <si>
    <t>The maximum loan amount possible using an appraised value method</t>
  </si>
  <si>
    <t>The primary cost categories (these match the categories used in the Development Costs Worksheet)</t>
  </si>
  <si>
    <t>Total Costs (from DevCosts Tab)</t>
  </si>
  <si>
    <t>The total costs for the category based on the information you entered in the Development Costs worksheet.</t>
  </si>
  <si>
    <t>The dollar amount of funds you are requesting from the funding source this sources and uses statement is intended for.</t>
  </si>
  <si>
    <t>Other Funds</t>
  </si>
  <si>
    <t>The amounts of all other funding sources you intend to use for this activity. This does not include the funds listed in the "Funds Requested" column. You can insert a new row if you have multiple funding sources associated with the activity.</t>
  </si>
  <si>
    <t>Status (Pending or Committed)</t>
  </si>
  <si>
    <t>Whether this funding has already been secured or this is pending approval.</t>
  </si>
  <si>
    <t>Activity Subtotals</t>
  </si>
  <si>
    <t>The total funding sources associated with this activity</t>
  </si>
  <si>
    <t>Item</t>
  </si>
  <si>
    <t>The total income generated from collected rents in a given year. This is increased according to a specified escalation factor to reflect expected rent increases over time.</t>
  </si>
  <si>
    <t>The total annual operating expenses for the property in a given year. This starts from the operating expenses in the operating budget worksheet and escalates them to reflect increases costs over time.</t>
  </si>
  <si>
    <t>The effective gross income minus the total annual expenses for the property in a given year.</t>
  </si>
  <si>
    <t>The total debt service you pay on all permanent financing.</t>
  </si>
  <si>
    <t>If you have a bridge loan, any debt service you pay on this loan. A bridge loan is a short-term loan that is used to finance a property until permanent financing sources can be employed.</t>
  </si>
  <si>
    <t>Your net operating income minus the debt service and bridge loan debt service.</t>
  </si>
  <si>
    <t>Your net operating income as a fraction of your debt service. Lenders typically have a minimum threshold they will want to see.</t>
  </si>
  <si>
    <t>A list of payments you will need to make from your cash flow.</t>
  </si>
  <si>
    <t>If your development involved a deferred developer fee, this will come out of your annual cash flow.</t>
  </si>
  <si>
    <t>Any asset management fees you must pay (for example to the asset manager for your tax credit syndicator).</t>
  </si>
  <si>
    <t>Cash Flow Loan #1</t>
  </si>
  <si>
    <t>If you have a loan that will need to be paid out of your cash flow, record it here.</t>
  </si>
  <si>
    <t>Cash Flow Loan #2</t>
  </si>
  <si>
    <t>If you have a second loan that will need to be paid out of your cash flow, record it here.</t>
  </si>
  <si>
    <t>Fees that will be paid to the general partner in a limited partnership in return for the role of managing the partnership. In most cases, you as the developer will act as the general partner, so this will be a fee that you collect from the property's cash flow.</t>
  </si>
  <si>
    <t>Available Cash after Payments</t>
  </si>
  <si>
    <t>The total cash flow you have remaining after all obligations are met.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</si>
</sst>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7" formatCode="&quot;$&quot;#,##0.00_);\(&quot;$&quot;#,##0.00\)"/>
    <numFmt numFmtId="41" formatCode="_(* #,##0_);_(* \(#,##0\);_(* &quot;-&quot;_);_(@_)"/>
    <numFmt numFmtId="164" formatCode="0.000%"/>
    <numFmt numFmtId="165" formatCode="0.0%"/>
    <numFmt numFmtId="166" formatCode="0.000"/>
    <numFmt numFmtId="167" formatCode="#,##0.000"/>
    <numFmt numFmtId="168" formatCode="#,##0.0_);\(#,##0.0\)"/>
  </numFmts>
  <fonts count="23">
    <font>
      <sz val="12"/>
      <name val="Arial"/>
    </font>
    <font>
      <sz val="11"/>
      <color theme="1"/>
      <name val="Calibri"/>
      <family val="2"/>
      <scheme val="minor"/>
    </font>
    <font>
      <sz val="18"/>
      <name val="Arial"/>
      <family val="2"/>
    </font>
    <font>
      <sz val="8"/>
      <name val="Arial"/>
      <family val="2"/>
    </font>
    <font>
      <i/>
      <sz val="12"/>
      <name val="Arial"/>
      <family val="2"/>
    </font>
    <font>
      <b/>
      <sz val="12"/>
      <name val="Arial"/>
      <family val="2"/>
    </font>
    <font>
      <sz val="12"/>
      <color indexed="10"/>
      <name val="Arial"/>
      <family val="2"/>
    </font>
    <font>
      <sz val="10"/>
      <name val="Arial"/>
      <family val="2"/>
    </font>
    <font>
      <sz val="12"/>
      <name val="Arial"/>
      <family val="2"/>
    </font>
    <font>
      <u/>
      <sz val="12"/>
      <name val="Arial"/>
      <family val="2"/>
    </font>
    <font>
      <sz val="12"/>
      <name val="Arial"/>
      <family val="2"/>
    </font>
    <font>
      <b/>
      <i/>
      <sz val="12"/>
      <name val="Arial"/>
      <family val="2"/>
    </font>
    <font>
      <sz val="12"/>
      <color theme="0"/>
      <name val="Arial"/>
      <family val="2"/>
    </font>
    <font>
      <b/>
      <sz val="12"/>
      <color theme="0"/>
      <name val="Arial"/>
      <family val="2"/>
    </font>
    <font>
      <sz val="12"/>
      <color theme="1"/>
      <name val="Arial"/>
      <family val="2"/>
    </font>
    <font>
      <b/>
      <sz val="20"/>
      <color theme="9" tint="-0.249977111117893"/>
      <name val="Arial"/>
      <family val="2"/>
    </font>
    <font>
      <sz val="9"/>
      <color indexed="81"/>
      <name val="Tahoma"/>
      <family val="2"/>
    </font>
    <font>
      <b/>
      <sz val="16"/>
      <color theme="4"/>
      <name val="Arial"/>
      <family val="2"/>
    </font>
    <font>
      <b/>
      <sz val="10"/>
      <color theme="1"/>
      <name val="Arial"/>
      <family val="2"/>
    </font>
    <font>
      <sz val="10"/>
      <color theme="1"/>
      <name val="Arial"/>
      <family val="2"/>
    </font>
    <font>
      <b/>
      <sz val="10"/>
      <color theme="0"/>
      <name val="Arial"/>
      <family val="2"/>
    </font>
    <font>
      <b/>
      <sz val="10"/>
      <name val="Arial"/>
      <family val="2"/>
    </font>
    <font>
      <b/>
      <i/>
      <sz val="10"/>
      <name val="Arial"/>
      <family val="2"/>
    </font>
  </fonts>
  <fills count="12">
    <fill>
      <patternFill patternType="none"/>
    </fill>
    <fill>
      <patternFill patternType="gray125"/>
    </fill>
    <fill>
      <patternFill patternType="solid">
        <fgColor indexed="43"/>
      </patternFill>
    </fill>
    <fill>
      <patternFill patternType="solid">
        <fgColor indexed="43"/>
        <bgColor indexed="64"/>
      </patternFill>
    </fill>
    <fill>
      <patternFill patternType="solid">
        <fgColor indexed="43"/>
        <bgColor indexed="9"/>
      </patternFill>
    </fill>
    <fill>
      <patternFill patternType="solid">
        <fgColor rgb="FFFFFF99"/>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FFFF99"/>
        <bgColor indexed="9"/>
      </patternFill>
    </fill>
    <fill>
      <patternFill patternType="solid">
        <fgColor theme="7" tint="0.59999389629810485"/>
        <bgColor indexed="64"/>
      </patternFill>
    </fill>
  </fills>
  <borders count="39">
    <border>
      <left/>
      <right/>
      <top/>
      <bottom/>
      <diagonal/>
    </border>
    <border>
      <left/>
      <right/>
      <top style="double">
        <color indexed="0"/>
      </top>
      <bottom/>
      <diagonal/>
    </border>
    <border>
      <left style="thin">
        <color indexed="0"/>
      </left>
      <right/>
      <top style="thin">
        <color indexed="0"/>
      </top>
      <bottom/>
      <diagonal/>
    </border>
    <border>
      <left style="double">
        <color indexed="0"/>
      </left>
      <right/>
      <top style="double">
        <color indexed="0"/>
      </top>
      <bottom/>
      <diagonal/>
    </border>
    <border>
      <left style="double">
        <color indexed="0"/>
      </left>
      <right style="thin">
        <color indexed="0"/>
      </right>
      <top style="double">
        <color indexed="0"/>
      </top>
      <bottom style="thin">
        <color indexed="0"/>
      </bottom>
      <diagonal/>
    </border>
    <border>
      <left style="thin">
        <color indexed="0"/>
      </left>
      <right/>
      <top style="double">
        <color indexed="0"/>
      </top>
      <bottom style="thin">
        <color indexed="0"/>
      </bottom>
      <diagonal/>
    </border>
    <border>
      <left/>
      <right style="thin">
        <color indexed="0"/>
      </right>
      <top style="double">
        <color indexed="0"/>
      </top>
      <bottom style="thin">
        <color indexed="0"/>
      </bottom>
      <diagonal/>
    </border>
    <border>
      <left style="thin">
        <color indexed="0"/>
      </left>
      <right style="double">
        <color indexed="0"/>
      </right>
      <top style="thin">
        <color indexed="0"/>
      </top>
      <bottom style="double">
        <color indexed="0"/>
      </bottom>
      <diagonal/>
    </border>
    <border>
      <left style="double">
        <color indexed="0"/>
      </left>
      <right/>
      <top/>
      <bottom/>
      <diagonal/>
    </border>
    <border>
      <left style="thin">
        <color indexed="0"/>
      </left>
      <right style="double">
        <color indexed="0"/>
      </right>
      <top style="double">
        <color indexed="0"/>
      </top>
      <bottom style="thin">
        <color indexed="0"/>
      </bottom>
      <diagonal/>
    </border>
    <border>
      <left style="double">
        <color indexed="0"/>
      </left>
      <right style="thin">
        <color indexed="0"/>
      </right>
      <top style="thin">
        <color indexed="0"/>
      </top>
      <bottom style="double">
        <color indexed="0"/>
      </bottom>
      <diagonal/>
    </border>
    <border>
      <left/>
      <right style="double">
        <color indexed="0"/>
      </right>
      <top style="double">
        <color indexed="0"/>
      </top>
      <bottom/>
      <diagonal/>
    </border>
    <border>
      <left/>
      <right style="double">
        <color indexed="0"/>
      </right>
      <top/>
      <bottom style="double">
        <color indexed="0"/>
      </bottom>
      <diagonal/>
    </border>
    <border>
      <left style="thin">
        <color indexed="0"/>
      </left>
      <right/>
      <top/>
      <bottom style="double">
        <color indexed="0"/>
      </bottom>
      <diagonal/>
    </border>
    <border>
      <left/>
      <right style="thin">
        <color indexed="0"/>
      </right>
      <top/>
      <bottom style="double">
        <color indexed="0"/>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style="thin">
        <color indexed="0"/>
      </left>
      <right/>
      <top style="double">
        <color indexed="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4">
    <xf numFmtId="0" fontId="0" fillId="0" borderId="0">
      <alignment vertical="top"/>
    </xf>
    <xf numFmtId="4" fontId="10" fillId="0" borderId="0" applyFont="0" applyFill="0" applyBorder="0" applyAlignment="0" applyProtection="0"/>
    <xf numFmtId="3" fontId="10" fillId="0" borderId="0" applyFont="0" applyFill="0" applyBorder="0" applyAlignment="0" applyProtection="0"/>
    <xf numFmtId="7" fontId="10" fillId="0" borderId="0" applyFont="0" applyFill="0" applyBorder="0" applyAlignment="0" applyProtection="0"/>
    <xf numFmtId="5" fontId="10" fillId="0" borderId="0" applyFont="0" applyFill="0" applyBorder="0" applyAlignment="0" applyProtection="0"/>
    <xf numFmtId="0" fontId="10" fillId="0" borderId="0" applyFont="0" applyFill="0" applyBorder="0" applyAlignment="0" applyProtection="0"/>
    <xf numFmtId="2" fontId="10" fillId="0" borderId="0" applyFont="0" applyFill="0" applyBorder="0" applyAlignment="0" applyProtection="0"/>
    <xf numFmtId="0" fontId="2" fillId="0" borderId="0" applyNumberFormat="0" applyFont="0" applyFill="0" applyAlignment="0" applyProtection="0"/>
    <xf numFmtId="0" fontId="3" fillId="0" borderId="0" applyNumberFormat="0" applyFont="0" applyFill="0" applyAlignment="0" applyProtection="0"/>
    <xf numFmtId="10" fontId="10" fillId="0" borderId="0" applyFont="0" applyFill="0" applyBorder="0" applyAlignment="0" applyProtection="0"/>
    <xf numFmtId="0" fontId="10" fillId="0" borderId="1" applyNumberFormat="0" applyFont="0" applyBorder="0" applyAlignment="0" applyProtection="0"/>
    <xf numFmtId="0" fontId="1" fillId="0" borderId="0"/>
    <xf numFmtId="7" fontId="8" fillId="0" borderId="0" applyFont="0" applyFill="0" applyBorder="0" applyAlignment="0" applyProtection="0"/>
    <xf numFmtId="10" fontId="8" fillId="0" borderId="0" applyFont="0" applyFill="0" applyBorder="0" applyAlignment="0" applyProtection="0"/>
  </cellStyleXfs>
  <cellXfs count="352">
    <xf numFmtId="0" fontId="0" fillId="0" borderId="0" xfId="0" applyAlignment="1"/>
    <xf numFmtId="0" fontId="5" fillId="0" borderId="0" xfId="0" applyFont="1" applyAlignment="1"/>
    <xf numFmtId="0" fontId="0" fillId="0" borderId="0" xfId="0" applyAlignment="1" applyProtection="1">
      <protection locked="0"/>
    </xf>
    <xf numFmtId="0" fontId="6" fillId="0" borderId="0" xfId="0" applyFont="1" applyAlignment="1"/>
    <xf numFmtId="0" fontId="5" fillId="0" borderId="0" xfId="0" applyFont="1" applyAlignment="1" applyProtection="1">
      <protection locked="0"/>
    </xf>
    <xf numFmtId="0" fontId="5" fillId="0" borderId="8" xfId="0" applyFont="1" applyBorder="1" applyAlignment="1"/>
    <xf numFmtId="0" fontId="8" fillId="0" borderId="0" xfId="0" applyFont="1" applyAlignment="1">
      <alignment horizontal="right"/>
    </xf>
    <xf numFmtId="2" fontId="8" fillId="0" borderId="11" xfId="0" applyNumberFormat="1" applyFont="1" applyBorder="1" applyAlignment="1" applyProtection="1">
      <protection locked="0"/>
    </xf>
    <xf numFmtId="0" fontId="8" fillId="0" borderId="0" xfId="0" quotePrefix="1" applyFont="1" applyAlignment="1"/>
    <xf numFmtId="0" fontId="8" fillId="0" borderId="8" xfId="0" applyFont="1" applyBorder="1" applyAlignment="1"/>
    <xf numFmtId="3" fontId="8" fillId="0" borderId="0" xfId="1" applyNumberFormat="1" applyFont="1"/>
    <xf numFmtId="0" fontId="8" fillId="0" borderId="0" xfId="0" applyFont="1" applyAlignment="1"/>
    <xf numFmtId="0" fontId="8" fillId="0" borderId="0" xfId="0" applyFont="1" applyAlignment="1">
      <alignment wrapText="1"/>
    </xf>
    <xf numFmtId="0" fontId="8" fillId="2" borderId="0" xfId="0" applyFont="1" applyFill="1" applyAlignment="1" applyProtection="1">
      <protection locked="0"/>
    </xf>
    <xf numFmtId="0" fontId="8" fillId="3" borderId="0" xfId="0" applyFont="1" applyFill="1" applyAlignment="1" applyProtection="1">
      <protection locked="0"/>
    </xf>
    <xf numFmtId="3" fontId="5" fillId="0" borderId="0" xfId="0" applyNumberFormat="1" applyFont="1" applyAlignment="1"/>
    <xf numFmtId="0" fontId="8" fillId="0" borderId="0" xfId="0" applyFont="1">
      <alignment vertical="top"/>
    </xf>
    <xf numFmtId="0" fontId="8" fillId="0" borderId="0" xfId="0" applyFont="1" applyProtection="1">
      <alignment vertical="top"/>
      <protection locked="0"/>
    </xf>
    <xf numFmtId="0" fontId="13" fillId="8" borderId="0" xfId="0" applyFont="1" applyFill="1" applyAlignment="1"/>
    <xf numFmtId="3" fontId="8" fillId="4" borderId="16" xfId="0" applyNumberFormat="1" applyFont="1" applyFill="1" applyBorder="1" applyAlignment="1"/>
    <xf numFmtId="0" fontId="8" fillId="2" borderId="16" xfId="0" applyFont="1" applyFill="1" applyBorder="1" applyAlignment="1" applyProtection="1">
      <protection locked="0"/>
    </xf>
    <xf numFmtId="3" fontId="8" fillId="2" borderId="16" xfId="0" applyNumberFormat="1" applyFont="1" applyFill="1" applyBorder="1" applyAlignment="1" applyProtection="1">
      <protection locked="0"/>
    </xf>
    <xf numFmtId="0" fontId="5" fillId="2" borderId="16" xfId="0" applyFont="1" applyFill="1" applyBorder="1" applyAlignment="1" applyProtection="1">
      <protection locked="0"/>
    </xf>
    <xf numFmtId="0" fontId="8" fillId="0" borderId="0" xfId="0" applyFont="1" applyAlignment="1" applyProtection="1">
      <protection locked="0"/>
    </xf>
    <xf numFmtId="3" fontId="8" fillId="3" borderId="16" xfId="0" applyNumberFormat="1" applyFont="1" applyFill="1" applyBorder="1" applyAlignment="1" applyProtection="1">
      <protection locked="0"/>
    </xf>
    <xf numFmtId="0" fontId="6" fillId="0" borderId="0" xfId="0" applyFont="1" applyAlignment="1">
      <alignment horizontal="right"/>
    </xf>
    <xf numFmtId="0" fontId="6" fillId="0" borderId="0" xfId="0" applyFont="1" applyAlignment="1" applyProtection="1">
      <alignment horizontal="right"/>
      <protection locked="0"/>
    </xf>
    <xf numFmtId="0" fontId="5" fillId="0" borderId="0" xfId="0" applyFont="1" applyAlignment="1">
      <alignment horizontal="right"/>
    </xf>
    <xf numFmtId="3" fontId="5" fillId="0" borderId="0" xfId="1" applyNumberFormat="1" applyFont="1"/>
    <xf numFmtId="5" fontId="8" fillId="0" borderId="0" xfId="0" applyNumberFormat="1" applyFont="1" applyAlignment="1">
      <alignment horizontal="right"/>
    </xf>
    <xf numFmtId="9" fontId="8" fillId="0" borderId="0" xfId="0" applyNumberFormat="1" applyFont="1" applyAlignment="1">
      <alignment horizontal="right"/>
    </xf>
    <xf numFmtId="5" fontId="8" fillId="0" borderId="0" xfId="0" applyNumberFormat="1" applyFont="1" applyAlignment="1"/>
    <xf numFmtId="164" fontId="8" fillId="2" borderId="16" xfId="0" applyNumberFormat="1" applyFont="1" applyFill="1" applyBorder="1" applyAlignment="1" applyProtection="1">
      <protection locked="0"/>
    </xf>
    <xf numFmtId="3" fontId="8" fillId="0" borderId="0" xfId="0" applyNumberFormat="1" applyFont="1" applyAlignment="1"/>
    <xf numFmtId="1" fontId="8" fillId="2" borderId="16" xfId="0" applyNumberFormat="1" applyFont="1" applyFill="1" applyBorder="1" applyAlignment="1" applyProtection="1">
      <protection locked="0"/>
    </xf>
    <xf numFmtId="9" fontId="8" fillId="0" borderId="0" xfId="9" quotePrefix="1" applyNumberFormat="1" applyFont="1" applyBorder="1" applyAlignment="1">
      <alignment horizontal="center"/>
    </xf>
    <xf numFmtId="9" fontId="8" fillId="0" borderId="0" xfId="9" quotePrefix="1" applyNumberFormat="1" applyFont="1" applyAlignment="1">
      <alignment horizontal="center"/>
    </xf>
    <xf numFmtId="0" fontId="8" fillId="0" borderId="4" xfId="0" applyFont="1" applyBorder="1" applyAlignment="1"/>
    <xf numFmtId="0" fontId="8" fillId="0" borderId="5" xfId="0" applyFont="1" applyBorder="1" applyAlignment="1"/>
    <xf numFmtId="0" fontId="8" fillId="0" borderId="6" xfId="0" applyFont="1" applyBorder="1" applyAlignment="1"/>
    <xf numFmtId="3" fontId="8" fillId="0" borderId="9" xfId="0" applyNumberFormat="1" applyFont="1" applyBorder="1" applyAlignment="1"/>
    <xf numFmtId="0" fontId="8" fillId="0" borderId="10" xfId="0" applyFont="1" applyBorder="1" applyAlignment="1" applyProtection="1">
      <protection locked="0"/>
    </xf>
    <xf numFmtId="166" fontId="8" fillId="0" borderId="7" xfId="0" applyNumberFormat="1" applyFont="1" applyBorder="1" applyAlignment="1"/>
    <xf numFmtId="0" fontId="8" fillId="0" borderId="13" xfId="0" applyFont="1" applyBorder="1" applyAlignment="1" applyProtection="1">
      <protection locked="0"/>
    </xf>
    <xf numFmtId="0" fontId="8" fillId="0" borderId="14" xfId="0" applyFont="1" applyBorder="1" applyAlignment="1"/>
    <xf numFmtId="166" fontId="8" fillId="6" borderId="12" xfId="0" applyNumberFormat="1" applyFont="1" applyFill="1" applyBorder="1" applyAlignment="1" applyProtection="1">
      <protection locked="0"/>
    </xf>
    <xf numFmtId="14" fontId="8" fillId="0" borderId="0" xfId="0" applyNumberFormat="1" applyFont="1" applyAlignment="1">
      <alignment horizontal="left"/>
    </xf>
    <xf numFmtId="0" fontId="8" fillId="0" borderId="0" xfId="0" applyFont="1" applyAlignment="1">
      <alignment horizontal="left"/>
    </xf>
    <xf numFmtId="0" fontId="8" fillId="0" borderId="0" xfId="0" applyFont="1" applyAlignment="1" applyProtection="1">
      <alignment horizontal="left"/>
      <protection locked="0"/>
    </xf>
    <xf numFmtId="5" fontId="8" fillId="0" borderId="0" xfId="0" applyNumberFormat="1" applyFont="1" applyAlignment="1" applyProtection="1">
      <protection locked="0"/>
    </xf>
    <xf numFmtId="39" fontId="8" fillId="0" borderId="0" xfId="0" applyNumberFormat="1" applyFont="1" applyAlignment="1" applyProtection="1">
      <protection locked="0"/>
    </xf>
    <xf numFmtId="0" fontId="5" fillId="0" borderId="0" xfId="0" applyFont="1" applyAlignment="1" applyProtection="1">
      <alignment horizontal="left"/>
      <protection locked="0"/>
    </xf>
    <xf numFmtId="0" fontId="8" fillId="0" borderId="0" xfId="0" applyFont="1" applyAlignment="1">
      <alignment horizontal="center"/>
    </xf>
    <xf numFmtId="5" fontId="8" fillId="4" borderId="16" xfId="3" applyNumberFormat="1" applyFont="1" applyFill="1" applyBorder="1" applyAlignment="1" applyProtection="1">
      <protection locked="0"/>
    </xf>
    <xf numFmtId="0" fontId="8" fillId="4" borderId="16" xfId="0" applyFont="1" applyFill="1" applyBorder="1" applyAlignment="1" applyProtection="1">
      <protection locked="0"/>
    </xf>
    <xf numFmtId="5" fontId="8" fillId="0" borderId="0" xfId="3" applyNumberFormat="1" applyFont="1" applyAlignment="1"/>
    <xf numFmtId="2" fontId="8" fillId="6" borderId="0" xfId="9" applyNumberFormat="1" applyFont="1" applyFill="1" applyBorder="1" applyAlignment="1">
      <alignment horizontal="right"/>
    </xf>
    <xf numFmtId="0" fontId="15" fillId="0" borderId="0" xfId="0" applyFont="1" applyAlignment="1"/>
    <xf numFmtId="0" fontId="14" fillId="6" borderId="0" xfId="0" applyFont="1" applyFill="1" applyAlignment="1" applyProtection="1">
      <protection locked="0"/>
    </xf>
    <xf numFmtId="14" fontId="8" fillId="0" borderId="0" xfId="0" applyNumberFormat="1" applyFont="1" applyAlignment="1" applyProtection="1">
      <protection locked="0"/>
    </xf>
    <xf numFmtId="0" fontId="8" fillId="0" borderId="0" xfId="0" applyFont="1" applyAlignment="1" applyProtection="1">
      <alignment horizontal="right"/>
      <protection locked="0"/>
    </xf>
    <xf numFmtId="14" fontId="8" fillId="0" borderId="0" xfId="0" applyNumberFormat="1" applyFont="1" applyAlignment="1" applyProtection="1">
      <alignment horizontal="right"/>
      <protection locked="0"/>
    </xf>
    <xf numFmtId="9" fontId="8" fillId="5" borderId="16" xfId="0" applyNumberFormat="1" applyFont="1" applyFill="1" applyBorder="1" applyAlignment="1">
      <alignment horizontal="left"/>
    </xf>
    <xf numFmtId="9" fontId="8" fillId="5" borderId="16" xfId="9" applyNumberFormat="1" applyFont="1" applyFill="1" applyBorder="1" applyAlignment="1">
      <alignment horizontal="left"/>
    </xf>
    <xf numFmtId="5" fontId="8" fillId="5" borderId="16" xfId="3" applyNumberFormat="1" applyFont="1" applyFill="1" applyBorder="1" applyAlignment="1">
      <alignment horizontal="left"/>
    </xf>
    <xf numFmtId="10" fontId="8" fillId="5" borderId="16" xfId="9" applyFont="1" applyFill="1" applyBorder="1" applyAlignment="1"/>
    <xf numFmtId="41" fontId="8" fillId="5" borderId="16" xfId="0" applyNumberFormat="1" applyFont="1" applyFill="1" applyBorder="1" applyAlignment="1">
      <alignment horizontal="center"/>
    </xf>
    <xf numFmtId="41" fontId="8" fillId="5" borderId="16" xfId="0" applyNumberFormat="1" applyFont="1" applyFill="1" applyBorder="1" applyAlignment="1"/>
    <xf numFmtId="0" fontId="5" fillId="0" borderId="23" xfId="0" applyFont="1" applyBorder="1" applyAlignment="1"/>
    <xf numFmtId="0" fontId="5" fillId="0" borderId="26" xfId="0" applyFont="1" applyBorder="1" applyAlignment="1"/>
    <xf numFmtId="0" fontId="5" fillId="0" borderId="28" xfId="0" applyFont="1" applyBorder="1" applyAlignment="1"/>
    <xf numFmtId="1" fontId="8" fillId="0" borderId="0" xfId="0" applyNumberFormat="1" applyFont="1" applyAlignment="1" applyProtection="1">
      <alignment horizontal="center"/>
      <protection locked="0"/>
    </xf>
    <xf numFmtId="3" fontId="8" fillId="0" borderId="0" xfId="0" applyNumberFormat="1" applyFont="1" applyAlignment="1" applyProtection="1">
      <protection locked="0"/>
    </xf>
    <xf numFmtId="3" fontId="8" fillId="0" borderId="0" xfId="1" applyNumberFormat="1" applyFont="1" applyFill="1" applyBorder="1" applyAlignment="1" applyProtection="1">
      <alignment horizontal="center"/>
      <protection locked="0"/>
    </xf>
    <xf numFmtId="0" fontId="8" fillId="5" borderId="0" xfId="0" applyFont="1" applyFill="1" applyAlignment="1" applyProtection="1">
      <protection locked="0"/>
    </xf>
    <xf numFmtId="0" fontId="8" fillId="5" borderId="0" xfId="0" applyFont="1" applyFill="1" applyAlignment="1" applyProtection="1">
      <alignment horizontal="right"/>
      <protection locked="0"/>
    </xf>
    <xf numFmtId="0" fontId="5" fillId="0" borderId="0" xfId="0" applyFont="1" applyAlignment="1" applyProtection="1">
      <alignment horizontal="right"/>
      <protection locked="0"/>
    </xf>
    <xf numFmtId="37" fontId="8" fillId="0" borderId="0" xfId="0" applyNumberFormat="1" applyFont="1" applyAlignment="1" applyProtection="1">
      <protection locked="0"/>
    </xf>
    <xf numFmtId="0" fontId="8" fillId="0" borderId="0" xfId="0" applyFont="1" applyAlignment="1" applyProtection="1">
      <alignment horizontal="center"/>
      <protection locked="0"/>
    </xf>
    <xf numFmtId="3" fontId="8" fillId="0" borderId="0" xfId="0" applyNumberFormat="1" applyFont="1" applyAlignment="1" applyProtection="1">
      <alignment horizontal="center"/>
      <protection locked="0"/>
    </xf>
    <xf numFmtId="0" fontId="8" fillId="2" borderId="0" xfId="0" applyFont="1" applyFill="1" applyAlignment="1" applyProtection="1">
      <alignment horizontal="right"/>
      <protection locked="0"/>
    </xf>
    <xf numFmtId="9" fontId="8" fillId="2" borderId="16" xfId="0" applyNumberFormat="1" applyFont="1" applyFill="1" applyBorder="1" applyAlignment="1" applyProtection="1">
      <alignment horizontal="right"/>
      <protection locked="0"/>
    </xf>
    <xf numFmtId="0" fontId="8" fillId="2" borderId="16" xfId="0" applyFont="1" applyFill="1" applyBorder="1" applyAlignment="1" applyProtection="1">
      <alignment horizontal="right"/>
      <protection locked="0"/>
    </xf>
    <xf numFmtId="0" fontId="5" fillId="8" borderId="0" xfId="0" applyFont="1" applyFill="1" applyAlignment="1" applyProtection="1">
      <alignment horizontal="center"/>
      <protection locked="0"/>
    </xf>
    <xf numFmtId="10" fontId="8" fillId="0" borderId="0" xfId="9" applyFont="1" applyFill="1" applyBorder="1" applyAlignment="1" applyProtection="1"/>
    <xf numFmtId="4" fontId="8" fillId="10" borderId="20" xfId="1" applyFont="1" applyFill="1" applyBorder="1" applyAlignment="1" applyProtection="1">
      <protection locked="0"/>
    </xf>
    <xf numFmtId="10" fontId="8" fillId="0" borderId="0" xfId="9" applyFont="1" applyFill="1" applyBorder="1" applyAlignment="1" applyProtection="1">
      <protection locked="0"/>
    </xf>
    <xf numFmtId="0" fontId="13" fillId="9" borderId="0" xfId="0" applyFont="1" applyFill="1" applyAlignment="1" applyProtection="1">
      <protection locked="0"/>
    </xf>
    <xf numFmtId="0" fontId="5" fillId="8" borderId="0" xfId="0" applyFont="1" applyFill="1" applyAlignment="1" applyProtection="1">
      <alignment horizontal="left"/>
      <protection locked="0"/>
    </xf>
    <xf numFmtId="10" fontId="8" fillId="0" borderId="0" xfId="9" applyFont="1" applyFill="1" applyBorder="1" applyProtection="1">
      <protection locked="0"/>
    </xf>
    <xf numFmtId="3" fontId="8" fillId="0" borderId="0" xfId="1" applyNumberFormat="1" applyFont="1" applyFill="1" applyBorder="1" applyProtection="1">
      <protection locked="0"/>
    </xf>
    <xf numFmtId="0" fontId="13" fillId="9" borderId="0" xfId="0" applyFont="1" applyFill="1" applyAlignment="1" applyProtection="1">
      <alignment horizontal="right"/>
      <protection locked="0"/>
    </xf>
    <xf numFmtId="167" fontId="13" fillId="9" borderId="0" xfId="1" applyNumberFormat="1" applyFont="1" applyFill="1" applyBorder="1" applyProtection="1">
      <protection locked="0"/>
    </xf>
    <xf numFmtId="0" fontId="13" fillId="9" borderId="23" xfId="0" applyFont="1" applyFill="1" applyBorder="1" applyAlignment="1" applyProtection="1">
      <protection locked="0"/>
    </xf>
    <xf numFmtId="0" fontId="13" fillId="9" borderId="24" xfId="0" applyFont="1" applyFill="1" applyBorder="1" applyAlignment="1" applyProtection="1">
      <protection locked="0"/>
    </xf>
    <xf numFmtId="0" fontId="13" fillId="9" borderId="24" xfId="0" applyFont="1" applyFill="1" applyBorder="1" applyAlignment="1" applyProtection="1">
      <alignment horizontal="left"/>
      <protection locked="0"/>
    </xf>
    <xf numFmtId="0" fontId="13" fillId="9" borderId="25" xfId="0" applyFont="1" applyFill="1" applyBorder="1" applyAlignment="1" applyProtection="1">
      <protection locked="0"/>
    </xf>
    <xf numFmtId="0" fontId="8" fillId="0" borderId="26" xfId="0" applyFont="1" applyBorder="1" applyAlignment="1" applyProtection="1">
      <alignment horizontal="center"/>
      <protection locked="0"/>
    </xf>
    <xf numFmtId="0" fontId="8" fillId="8" borderId="27" xfId="0" applyFont="1" applyFill="1" applyBorder="1" applyAlignment="1" applyProtection="1">
      <protection locked="0"/>
    </xf>
    <xf numFmtId="0" fontId="8" fillId="4" borderId="32" xfId="0" quotePrefix="1" applyFont="1" applyFill="1" applyBorder="1" applyAlignment="1" applyProtection="1">
      <alignment horizontal="right"/>
      <protection locked="0"/>
    </xf>
    <xf numFmtId="3" fontId="8" fillId="2" borderId="31" xfId="0" applyNumberFormat="1" applyFont="1" applyFill="1" applyBorder="1" applyAlignment="1" applyProtection="1">
      <protection locked="0"/>
    </xf>
    <xf numFmtId="0" fontId="8" fillId="4" borderId="32" xfId="0" applyFont="1" applyFill="1" applyBorder="1" applyAlignment="1" applyProtection="1">
      <protection locked="0"/>
    </xf>
    <xf numFmtId="3" fontId="5" fillId="0" borderId="27" xfId="0" applyNumberFormat="1" applyFont="1" applyBorder="1" applyAlignment="1" applyProtection="1">
      <protection locked="0"/>
    </xf>
    <xf numFmtId="0" fontId="8" fillId="0" borderId="26" xfId="0" applyFont="1" applyBorder="1" applyAlignment="1" applyProtection="1">
      <protection locked="0"/>
    </xf>
    <xf numFmtId="3" fontId="5" fillId="8" borderId="27" xfId="0" applyNumberFormat="1" applyFont="1" applyFill="1" applyBorder="1" applyAlignment="1" applyProtection="1">
      <protection locked="0"/>
    </xf>
    <xf numFmtId="0" fontId="8" fillId="0" borderId="28" xfId="0" applyFont="1" applyBorder="1" applyAlignment="1" applyProtection="1">
      <protection locked="0"/>
    </xf>
    <xf numFmtId="0" fontId="8" fillId="0" borderId="29" xfId="0" applyFont="1" applyBorder="1" applyAlignment="1" applyProtection="1">
      <protection locked="0"/>
    </xf>
    <xf numFmtId="0" fontId="8" fillId="0" borderId="29" xfId="0" applyFont="1" applyBorder="1" applyAlignment="1" applyProtection="1">
      <alignment horizontal="right"/>
      <protection locked="0"/>
    </xf>
    <xf numFmtId="37" fontId="8" fillId="0" borderId="29" xfId="0" applyNumberFormat="1" applyFont="1" applyBorder="1" applyAlignment="1" applyProtection="1">
      <protection locked="0"/>
    </xf>
    <xf numFmtId="0" fontId="13" fillId="9" borderId="29" xfId="0" applyFont="1" applyFill="1" applyBorder="1" applyAlignment="1" applyProtection="1">
      <alignment horizontal="left"/>
      <protection locked="0"/>
    </xf>
    <xf numFmtId="3" fontId="13" fillId="9" borderId="30" xfId="0" applyNumberFormat="1" applyFont="1" applyFill="1" applyBorder="1" applyAlignment="1" applyProtection="1">
      <protection locked="0"/>
    </xf>
    <xf numFmtId="0" fontId="13" fillId="7" borderId="23" xfId="0" applyFont="1" applyFill="1" applyBorder="1" applyAlignment="1"/>
    <xf numFmtId="0" fontId="13" fillId="7" borderId="24" xfId="0" applyFont="1" applyFill="1" applyBorder="1" applyAlignment="1">
      <alignment horizontal="right"/>
    </xf>
    <xf numFmtId="0" fontId="13" fillId="7" borderId="25" xfId="0" applyFont="1" applyFill="1" applyBorder="1" applyAlignment="1">
      <alignment horizontal="right"/>
    </xf>
    <xf numFmtId="0" fontId="8" fillId="0" borderId="26" xfId="0" applyFont="1" applyBorder="1" applyAlignment="1"/>
    <xf numFmtId="9" fontId="8" fillId="0" borderId="27" xfId="0" applyNumberFormat="1" applyFont="1" applyBorder="1" applyAlignment="1"/>
    <xf numFmtId="3" fontId="8" fillId="0" borderId="29" xfId="0" applyNumberFormat="1" applyFont="1" applyBorder="1" applyAlignment="1"/>
    <xf numFmtId="9" fontId="8" fillId="0" borderId="30" xfId="0" applyNumberFormat="1" applyFont="1" applyBorder="1" applyAlignment="1"/>
    <xf numFmtId="0" fontId="12" fillId="7" borderId="24" xfId="0" applyFont="1" applyFill="1" applyBorder="1" applyAlignment="1"/>
    <xf numFmtId="9" fontId="12" fillId="7" borderId="25" xfId="0" applyNumberFormat="1" applyFont="1" applyFill="1" applyBorder="1" applyAlignment="1"/>
    <xf numFmtId="0" fontId="8" fillId="0" borderId="27" xfId="0" applyFont="1" applyBorder="1" applyAlignment="1"/>
    <xf numFmtId="5" fontId="8" fillId="0" borderId="27" xfId="3" applyNumberFormat="1" applyFont="1" applyFill="1" applyBorder="1" applyAlignment="1">
      <alignment horizontal="left"/>
    </xf>
    <xf numFmtId="41" fontId="8" fillId="0" borderId="0" xfId="0" applyNumberFormat="1" applyFont="1" applyAlignment="1"/>
    <xf numFmtId="2" fontId="8" fillId="0" borderId="0" xfId="0" applyNumberFormat="1" applyFont="1" applyAlignment="1"/>
    <xf numFmtId="0" fontId="9" fillId="0" borderId="0" xfId="0" applyFont="1" applyAlignment="1">
      <alignment horizontal="right"/>
    </xf>
    <xf numFmtId="3" fontId="8" fillId="0" borderId="0" xfId="1" applyNumberFormat="1" applyFont="1" applyFill="1" applyBorder="1" applyAlignment="1" applyProtection="1"/>
    <xf numFmtId="3" fontId="8" fillId="0" borderId="0" xfId="1" applyNumberFormat="1" applyFont="1" applyFill="1" applyBorder="1" applyAlignment="1" applyProtection="1">
      <protection locked="0"/>
    </xf>
    <xf numFmtId="0" fontId="5" fillId="8" borderId="0" xfId="0" applyFont="1" applyFill="1" applyAlignment="1" applyProtection="1">
      <protection locked="0"/>
    </xf>
    <xf numFmtId="3" fontId="5" fillId="8" borderId="0" xfId="0" applyNumberFormat="1" applyFont="1" applyFill="1" applyAlignment="1"/>
    <xf numFmtId="0" fontId="5" fillId="9" borderId="23" xfId="0" applyFont="1" applyFill="1" applyBorder="1" applyAlignment="1"/>
    <xf numFmtId="0" fontId="13" fillId="9" borderId="24" xfId="0" applyFont="1" applyFill="1" applyBorder="1" applyAlignment="1"/>
    <xf numFmtId="0" fontId="8" fillId="0" borderId="24" xfId="0" applyFont="1" applyBorder="1" applyAlignment="1"/>
    <xf numFmtId="0" fontId="8" fillId="0" borderId="25" xfId="0" applyFont="1" applyBorder="1" applyAlignment="1"/>
    <xf numFmtId="0" fontId="6" fillId="0" borderId="27" xfId="0" applyFont="1" applyBorder="1" applyAlignment="1" applyProtection="1">
      <alignment horizontal="center"/>
      <protection locked="0"/>
    </xf>
    <xf numFmtId="0" fontId="6" fillId="0" borderId="27" xfId="0" applyFont="1" applyBorder="1" applyAlignment="1" applyProtection="1">
      <protection locked="0"/>
    </xf>
    <xf numFmtId="0" fontId="9" fillId="0" borderId="27" xfId="0" applyFont="1" applyBorder="1" applyAlignment="1">
      <alignment horizontal="right"/>
    </xf>
    <xf numFmtId="3" fontId="8" fillId="0" borderId="27" xfId="1" applyNumberFormat="1" applyFont="1" applyFill="1" applyBorder="1" applyAlignment="1" applyProtection="1">
      <protection locked="0"/>
    </xf>
    <xf numFmtId="0" fontId="8" fillId="0" borderId="27" xfId="0" applyFont="1" applyBorder="1" applyAlignment="1" applyProtection="1">
      <protection locked="0"/>
    </xf>
    <xf numFmtId="3" fontId="8" fillId="0" borderId="27" xfId="0" applyNumberFormat="1" applyFont="1" applyBorder="1" applyAlignment="1" applyProtection="1">
      <protection locked="0"/>
    </xf>
    <xf numFmtId="0" fontId="8" fillId="8" borderId="26" xfId="0" applyFont="1" applyFill="1" applyBorder="1" applyAlignment="1"/>
    <xf numFmtId="0" fontId="8" fillId="9" borderId="28" xfId="0" applyFont="1" applyFill="1" applyBorder="1" applyAlignment="1"/>
    <xf numFmtId="0" fontId="13" fillId="9" borderId="29" xfId="0" applyFont="1" applyFill="1" applyBorder="1" applyAlignment="1"/>
    <xf numFmtId="3" fontId="13" fillId="9" borderId="29" xfId="0" applyNumberFormat="1" applyFont="1" applyFill="1" applyBorder="1" applyAlignment="1"/>
    <xf numFmtId="0" fontId="5" fillId="0" borderId="29" xfId="0" applyFont="1" applyBorder="1" applyAlignment="1" applyProtection="1">
      <protection locked="0"/>
    </xf>
    <xf numFmtId="0" fontId="5" fillId="0" borderId="30" xfId="0" applyFont="1" applyBorder="1" applyAlignment="1" applyProtection="1">
      <protection locked="0"/>
    </xf>
    <xf numFmtId="5" fontId="8" fillId="0" borderId="0" xfId="3" applyNumberFormat="1" applyFont="1" applyFill="1" applyBorder="1" applyAlignment="1" applyProtection="1">
      <protection locked="0"/>
    </xf>
    <xf numFmtId="0" fontId="13" fillId="9" borderId="23" xfId="0" applyFont="1" applyFill="1" applyBorder="1" applyAlignment="1" applyProtection="1">
      <alignment horizontal="center"/>
      <protection locked="0"/>
    </xf>
    <xf numFmtId="0" fontId="13" fillId="9" borderId="24" xfId="0" applyFont="1" applyFill="1" applyBorder="1" applyAlignment="1" applyProtection="1">
      <alignment horizontal="center"/>
      <protection locked="0"/>
    </xf>
    <xf numFmtId="0" fontId="13" fillId="9" borderId="24" xfId="0" applyFont="1" applyFill="1" applyBorder="1" applyAlignment="1" applyProtection="1">
      <alignment horizontal="center" wrapText="1"/>
      <protection locked="0"/>
    </xf>
    <xf numFmtId="0" fontId="13" fillId="9" borderId="25" xfId="0" applyFont="1" applyFill="1" applyBorder="1" applyAlignment="1" applyProtection="1">
      <alignment horizontal="center"/>
      <protection locked="0"/>
    </xf>
    <xf numFmtId="0" fontId="8" fillId="4" borderId="31" xfId="0" applyFont="1" applyFill="1" applyBorder="1" applyAlignment="1" applyProtection="1">
      <protection locked="0"/>
    </xf>
    <xf numFmtId="3" fontId="8" fillId="0" borderId="26" xfId="0" applyNumberFormat="1" applyFont="1" applyBorder="1" applyAlignment="1" applyProtection="1">
      <protection locked="0"/>
    </xf>
    <xf numFmtId="0" fontId="13" fillId="9" borderId="28" xfId="0" applyFont="1" applyFill="1" applyBorder="1" applyAlignment="1" applyProtection="1">
      <protection locked="0"/>
    </xf>
    <xf numFmtId="0" fontId="13" fillId="9" borderId="29" xfId="0" applyFont="1" applyFill="1" applyBorder="1" applyAlignment="1" applyProtection="1">
      <protection locked="0"/>
    </xf>
    <xf numFmtId="5" fontId="13" fillId="9" borderId="29" xfId="3" applyNumberFormat="1" applyFont="1" applyFill="1" applyBorder="1" applyAlignment="1" applyProtection="1">
      <protection locked="0"/>
    </xf>
    <xf numFmtId="0" fontId="13" fillId="9" borderId="30" xfId="0" applyFont="1" applyFill="1" applyBorder="1" applyAlignment="1" applyProtection="1">
      <protection locked="0"/>
    </xf>
    <xf numFmtId="4" fontId="8" fillId="6" borderId="0" xfId="1" applyFont="1" applyFill="1" applyBorder="1" applyAlignment="1">
      <alignment horizontal="right"/>
    </xf>
    <xf numFmtId="0" fontId="13" fillId="9" borderId="23" xfId="0" applyFont="1" applyFill="1" applyBorder="1" applyAlignment="1"/>
    <xf numFmtId="5" fontId="13" fillId="9" borderId="24" xfId="0" applyNumberFormat="1" applyFont="1" applyFill="1" applyBorder="1" applyAlignment="1">
      <alignment horizontal="right"/>
    </xf>
    <xf numFmtId="5" fontId="13" fillId="9" borderId="25" xfId="0" applyNumberFormat="1" applyFont="1" applyFill="1" applyBorder="1" applyAlignment="1">
      <alignment horizontal="right"/>
    </xf>
    <xf numFmtId="5" fontId="8" fillId="0" borderId="27" xfId="0" applyNumberFormat="1" applyFont="1" applyBorder="1" applyAlignment="1">
      <alignment horizontal="right"/>
    </xf>
    <xf numFmtId="2" fontId="8" fillId="6" borderId="27" xfId="9" applyNumberFormat="1" applyFont="1" applyFill="1" applyBorder="1" applyAlignment="1">
      <alignment horizontal="right"/>
    </xf>
    <xf numFmtId="9" fontId="8" fillId="0" borderId="27" xfId="0" applyNumberFormat="1" applyFont="1" applyBorder="1" applyAlignment="1">
      <alignment horizontal="right"/>
    </xf>
    <xf numFmtId="0" fontId="8" fillId="0" borderId="28" xfId="0" applyFont="1" applyBorder="1" applyAlignment="1"/>
    <xf numFmtId="0" fontId="8" fillId="0" borderId="29" xfId="0" applyFont="1" applyBorder="1" applyAlignment="1"/>
    <xf numFmtId="5" fontId="8" fillId="5" borderId="16" xfId="0" applyNumberFormat="1" applyFont="1" applyFill="1" applyBorder="1" applyAlignment="1">
      <alignment horizontal="right"/>
    </xf>
    <xf numFmtId="5" fontId="8" fillId="4" borderId="16" xfId="0" applyNumberFormat="1" applyFont="1" applyFill="1" applyBorder="1" applyAlignment="1">
      <alignment horizontal="right"/>
    </xf>
    <xf numFmtId="5" fontId="8" fillId="5" borderId="16" xfId="0" applyNumberFormat="1" applyFont="1" applyFill="1" applyBorder="1" applyAlignment="1"/>
    <xf numFmtId="5" fontId="8" fillId="3" borderId="16" xfId="0" applyNumberFormat="1" applyFont="1" applyFill="1" applyBorder="1" applyAlignment="1" applyProtection="1">
      <protection locked="0"/>
    </xf>
    <xf numFmtId="5" fontId="8" fillId="2" borderId="16" xfId="0" applyNumberFormat="1" applyFont="1" applyFill="1" applyBorder="1" applyAlignment="1" applyProtection="1">
      <protection locked="0"/>
    </xf>
    <xf numFmtId="10" fontId="8" fillId="4" borderId="16" xfId="0" applyNumberFormat="1" applyFont="1" applyFill="1" applyBorder="1" applyAlignment="1" applyProtection="1">
      <protection locked="0"/>
    </xf>
    <xf numFmtId="10" fontId="8" fillId="4" borderId="16" xfId="0" applyNumberFormat="1" applyFont="1" applyFill="1" applyBorder="1" applyAlignment="1"/>
    <xf numFmtId="0" fontId="13" fillId="9" borderId="24" xfId="0" applyFont="1" applyFill="1" applyBorder="1" applyAlignment="1">
      <alignment horizontal="right"/>
    </xf>
    <xf numFmtId="9" fontId="8" fillId="0" borderId="0" xfId="9" applyNumberFormat="1" applyFont="1" applyBorder="1" applyAlignment="1"/>
    <xf numFmtId="5" fontId="8" fillId="4" borderId="31" xfId="0" applyNumberFormat="1" applyFont="1" applyFill="1" applyBorder="1" applyAlignment="1">
      <alignment horizontal="right"/>
    </xf>
    <xf numFmtId="2" fontId="8" fillId="6" borderId="0" xfId="0" applyNumberFormat="1" applyFont="1" applyFill="1" applyAlignment="1" applyProtection="1">
      <alignment horizontal="right"/>
      <protection locked="0"/>
    </xf>
    <xf numFmtId="9" fontId="8" fillId="0" borderId="0" xfId="0" applyNumberFormat="1" applyFont="1" applyAlignment="1"/>
    <xf numFmtId="5" fontId="8" fillId="5" borderId="31" xfId="0" applyNumberFormat="1" applyFont="1" applyFill="1" applyBorder="1" applyAlignment="1">
      <alignment horizontal="right"/>
    </xf>
    <xf numFmtId="5" fontId="8" fillId="5" borderId="33" xfId="0" applyNumberFormat="1" applyFont="1" applyFill="1" applyBorder="1" applyAlignment="1"/>
    <xf numFmtId="5" fontId="8" fillId="5" borderId="34" xfId="0" applyNumberFormat="1" applyFont="1" applyFill="1" applyBorder="1" applyAlignment="1">
      <alignment horizontal="right"/>
    </xf>
    <xf numFmtId="5" fontId="8" fillId="5" borderId="33" xfId="0" applyNumberFormat="1" applyFont="1" applyFill="1" applyBorder="1" applyAlignment="1">
      <alignment horizontal="right"/>
    </xf>
    <xf numFmtId="0" fontId="8" fillId="0" borderId="0" xfId="0" applyFont="1" applyAlignment="1" applyProtection="1">
      <alignment wrapText="1"/>
      <protection locked="0"/>
    </xf>
    <xf numFmtId="0" fontId="8" fillId="5" borderId="16" xfId="0" applyFont="1" applyFill="1" applyBorder="1" applyAlignment="1">
      <alignment horizontal="right"/>
    </xf>
    <xf numFmtId="14" fontId="8" fillId="5" borderId="16" xfId="0" applyNumberFormat="1" applyFont="1" applyFill="1" applyBorder="1" applyAlignment="1">
      <alignment horizontal="right"/>
    </xf>
    <xf numFmtId="3" fontId="8" fillId="0" borderId="25" xfId="0" applyNumberFormat="1" applyFont="1" applyBorder="1" applyAlignment="1"/>
    <xf numFmtId="3" fontId="8" fillId="3" borderId="31" xfId="0" applyNumberFormat="1" applyFont="1" applyFill="1" applyBorder="1" applyAlignment="1" applyProtection="1">
      <protection locked="0"/>
    </xf>
    <xf numFmtId="3" fontId="8" fillId="0" borderId="27" xfId="0" applyNumberFormat="1" applyFont="1" applyBorder="1" applyAlignment="1"/>
    <xf numFmtId="7" fontId="8" fillId="0" borderId="0" xfId="3" applyFont="1" applyBorder="1" applyAlignment="1">
      <alignment horizontal="right"/>
    </xf>
    <xf numFmtId="7" fontId="8" fillId="0" borderId="0" xfId="3" applyFont="1" applyBorder="1" applyAlignment="1">
      <alignment horizontal="left"/>
    </xf>
    <xf numFmtId="5" fontId="8" fillId="0" borderId="0" xfId="3" applyNumberFormat="1" applyFont="1" applyBorder="1" applyAlignment="1">
      <alignment horizontal="left"/>
    </xf>
    <xf numFmtId="165" fontId="8" fillId="0" borderId="0" xfId="9" applyNumberFormat="1" applyFont="1"/>
    <xf numFmtId="168" fontId="8" fillId="0" borderId="0" xfId="0" applyNumberFormat="1" applyFont="1" applyAlignment="1"/>
    <xf numFmtId="165" fontId="8" fillId="6" borderId="0" xfId="9" applyNumberFormat="1" applyFont="1" applyFill="1" applyBorder="1" applyAlignment="1">
      <alignment horizontal="left"/>
    </xf>
    <xf numFmtId="9" fontId="8" fillId="0" borderId="0" xfId="9" applyNumberFormat="1" applyFont="1" applyBorder="1" applyAlignment="1">
      <alignment horizontal="left"/>
    </xf>
    <xf numFmtId="7" fontId="8" fillId="0" borderId="0" xfId="3" applyFont="1" applyFill="1" applyBorder="1" applyAlignment="1"/>
    <xf numFmtId="4" fontId="8" fillId="0" borderId="0" xfId="0" applyNumberFormat="1" applyFont="1" applyAlignment="1"/>
    <xf numFmtId="7" fontId="8" fillId="0" borderId="0" xfId="0" applyNumberFormat="1" applyFont="1" applyAlignment="1"/>
    <xf numFmtId="10" fontId="8" fillId="4" borderId="16" xfId="9" applyFont="1" applyFill="1" applyBorder="1" applyAlignment="1" applyProtection="1">
      <protection locked="0"/>
    </xf>
    <xf numFmtId="0" fontId="8" fillId="0" borderId="0" xfId="0" applyFont="1" applyAlignment="1">
      <alignment vertical="top" wrapText="1"/>
    </xf>
    <xf numFmtId="9" fontId="8" fillId="0" borderId="0" xfId="9" applyNumberFormat="1" applyFont="1" applyFill="1" applyBorder="1" applyAlignment="1">
      <alignment horizontal="left"/>
    </xf>
    <xf numFmtId="5" fontId="5" fillId="0" borderId="0" xfId="0" applyNumberFormat="1" applyFont="1" applyAlignment="1"/>
    <xf numFmtId="10" fontId="8" fillId="0" borderId="0" xfId="9" applyFont="1" applyBorder="1" applyAlignment="1">
      <alignment horizontal="center"/>
    </xf>
    <xf numFmtId="0" fontId="11" fillId="0" borderId="0" xfId="0" applyFont="1" applyAlignment="1"/>
    <xf numFmtId="3" fontId="4" fillId="6" borderId="0" xfId="0" applyNumberFormat="1" applyFont="1" applyFill="1" applyAlignment="1"/>
    <xf numFmtId="0" fontId="13" fillId="9" borderId="25" xfId="0" applyFont="1" applyFill="1" applyBorder="1" applyAlignment="1">
      <alignment horizontal="right"/>
    </xf>
    <xf numFmtId="0" fontId="5" fillId="8" borderId="26" xfId="0" applyFont="1" applyFill="1" applyBorder="1" applyAlignment="1"/>
    <xf numFmtId="0" fontId="12" fillId="8" borderId="0" xfId="0" applyFont="1" applyFill="1" applyAlignment="1"/>
    <xf numFmtId="0" fontId="12" fillId="8" borderId="27" xfId="0" applyFont="1" applyFill="1" applyBorder="1" applyAlignment="1"/>
    <xf numFmtId="4" fontId="8" fillId="0" borderId="27" xfId="0" applyNumberFormat="1" applyFont="1" applyBorder="1" applyAlignment="1"/>
    <xf numFmtId="4" fontId="5" fillId="0" borderId="27" xfId="0" applyNumberFormat="1" applyFont="1" applyBorder="1" applyAlignment="1"/>
    <xf numFmtId="0" fontId="8" fillId="2" borderId="26" xfId="0" applyFont="1" applyFill="1" applyBorder="1" applyAlignment="1" applyProtection="1">
      <protection locked="0"/>
    </xf>
    <xf numFmtId="3" fontId="5" fillId="6" borderId="0" xfId="0" applyNumberFormat="1" applyFont="1" applyFill="1" applyAlignment="1"/>
    <xf numFmtId="0" fontId="5" fillId="8" borderId="28" xfId="0" applyFont="1" applyFill="1" applyBorder="1" applyAlignment="1"/>
    <xf numFmtId="0" fontId="5" fillId="8" borderId="29" xfId="0" applyFont="1" applyFill="1" applyBorder="1" applyAlignment="1"/>
    <xf numFmtId="5" fontId="5" fillId="8" borderId="29" xfId="3" applyNumberFormat="1" applyFont="1" applyFill="1" applyBorder="1" applyAlignment="1"/>
    <xf numFmtId="3" fontId="5" fillId="0" borderId="29" xfId="0" applyNumberFormat="1" applyFont="1" applyBorder="1" applyAlignment="1"/>
    <xf numFmtId="4" fontId="5" fillId="0" borderId="30" xfId="0" applyNumberFormat="1" applyFont="1" applyBorder="1" applyAlignment="1"/>
    <xf numFmtId="7" fontId="8" fillId="6" borderId="0" xfId="3" applyFont="1" applyFill="1" applyBorder="1" applyAlignment="1"/>
    <xf numFmtId="0" fontId="5" fillId="0" borderId="24" xfId="0" applyFont="1" applyBorder="1" applyAlignment="1"/>
    <xf numFmtId="7" fontId="8" fillId="6" borderId="25" xfId="3" applyFont="1" applyFill="1" applyBorder="1" applyAlignment="1"/>
    <xf numFmtId="7" fontId="8" fillId="6" borderId="27" xfId="3" applyFont="1" applyFill="1" applyBorder="1" applyAlignment="1"/>
    <xf numFmtId="0" fontId="5" fillId="0" borderId="29" xfId="0" applyFont="1" applyBorder="1" applyAlignment="1"/>
    <xf numFmtId="7" fontId="8" fillId="6" borderId="30" xfId="3" applyFont="1" applyFill="1" applyBorder="1" applyAlignment="1"/>
    <xf numFmtId="0" fontId="8" fillId="0" borderId="23" xfId="0" applyFont="1" applyBorder="1" applyAlignment="1" applyProtection="1">
      <protection locked="0"/>
    </xf>
    <xf numFmtId="0" fontId="8" fillId="0" borderId="24" xfId="0" applyFont="1" applyBorder="1" applyAlignment="1" applyProtection="1">
      <protection locked="0"/>
    </xf>
    <xf numFmtId="0" fontId="5" fillId="0" borderId="24" xfId="0" applyFont="1" applyBorder="1" applyAlignment="1" applyProtection="1">
      <alignment horizontal="right"/>
      <protection locked="0"/>
    </xf>
    <xf numFmtId="37" fontId="8" fillId="0" borderId="24" xfId="0" applyNumberFormat="1" applyFont="1" applyBorder="1" applyAlignment="1" applyProtection="1">
      <protection locked="0"/>
    </xf>
    <xf numFmtId="0" fontId="5" fillId="0" borderId="24" xfId="0" applyFont="1" applyBorder="1" applyAlignment="1" applyProtection="1">
      <alignment horizontal="left"/>
      <protection locked="0"/>
    </xf>
    <xf numFmtId="3" fontId="5" fillId="0" borderId="25" xfId="0" applyNumberFormat="1" applyFont="1" applyBorder="1" applyAlignment="1" applyProtection="1">
      <protection locked="0"/>
    </xf>
    <xf numFmtId="0" fontId="5" fillId="5" borderId="31" xfId="0" applyFont="1" applyFill="1" applyBorder="1" applyAlignment="1" applyProtection="1">
      <protection locked="0"/>
    </xf>
    <xf numFmtId="0" fontId="8" fillId="0" borderId="27" xfId="0" applyFont="1" applyBorder="1" applyAlignment="1">
      <alignment vertical="top" textRotation="1" wrapText="1"/>
    </xf>
    <xf numFmtId="3" fontId="8" fillId="0" borderId="30" xfId="0" applyNumberFormat="1" applyFont="1" applyBorder="1" applyAlignment="1"/>
    <xf numFmtId="5" fontId="8" fillId="4" borderId="19" xfId="0" applyNumberFormat="1" applyFont="1" applyFill="1" applyBorder="1" applyAlignment="1">
      <alignment horizontal="right"/>
    </xf>
    <xf numFmtId="5" fontId="8" fillId="5" borderId="19" xfId="0" applyNumberFormat="1" applyFont="1" applyFill="1" applyBorder="1" applyAlignment="1">
      <alignment horizontal="right"/>
    </xf>
    <xf numFmtId="5" fontId="8" fillId="5" borderId="35" xfId="0" applyNumberFormat="1" applyFont="1" applyFill="1" applyBorder="1" applyAlignment="1">
      <alignment horizontal="right"/>
    </xf>
    <xf numFmtId="5" fontId="8" fillId="4" borderId="20" xfId="0" applyNumberFormat="1" applyFont="1" applyFill="1" applyBorder="1" applyAlignment="1">
      <alignment horizontal="right"/>
    </xf>
    <xf numFmtId="5" fontId="8" fillId="5" borderId="20" xfId="0" applyNumberFormat="1" applyFont="1" applyFill="1" applyBorder="1" applyAlignment="1">
      <alignment horizontal="right"/>
    </xf>
    <xf numFmtId="5" fontId="8" fillId="5" borderId="36" xfId="0" applyNumberFormat="1" applyFont="1" applyFill="1" applyBorder="1" applyAlignment="1">
      <alignment horizontal="right"/>
    </xf>
    <xf numFmtId="0" fontId="19" fillId="0" borderId="0" xfId="11" applyFont="1" applyAlignment="1">
      <alignment wrapText="1"/>
    </xf>
    <xf numFmtId="0" fontId="19" fillId="0" borderId="0" xfId="11" applyFont="1"/>
    <xf numFmtId="0" fontId="20" fillId="9" borderId="3" xfId="11" applyFont="1" applyFill="1" applyBorder="1" applyAlignment="1">
      <alignment vertical="center"/>
    </xf>
    <xf numFmtId="0" fontId="20" fillId="9" borderId="1" xfId="11" applyFont="1" applyFill="1" applyBorder="1" applyAlignment="1">
      <alignment vertical="center" wrapText="1"/>
    </xf>
    <xf numFmtId="0" fontId="21" fillId="8" borderId="8" xfId="11" applyFont="1" applyFill="1" applyBorder="1" applyAlignment="1">
      <alignment vertical="center"/>
    </xf>
    <xf numFmtId="0" fontId="20" fillId="8" borderId="0" xfId="11" applyFont="1" applyFill="1" applyAlignment="1">
      <alignment vertical="center" wrapText="1"/>
    </xf>
    <xf numFmtId="0" fontId="7" fillId="0" borderId="8" xfId="11" applyFont="1" applyBorder="1" applyAlignment="1">
      <alignment horizontal="left" vertical="center" indent="2"/>
    </xf>
    <xf numFmtId="0" fontId="19" fillId="0" borderId="0" xfId="11" applyFont="1" applyAlignment="1">
      <alignment vertical="center" wrapText="1"/>
    </xf>
    <xf numFmtId="0" fontId="19" fillId="0" borderId="8" xfId="11" applyFont="1" applyBorder="1" applyAlignment="1">
      <alignment horizontal="left" vertical="center" indent="2"/>
    </xf>
    <xf numFmtId="0" fontId="21" fillId="0" borderId="8" xfId="11" applyFont="1" applyBorder="1" applyAlignment="1">
      <alignment horizontal="left" vertical="center" indent="2"/>
    </xf>
    <xf numFmtId="0" fontId="21" fillId="0" borderId="0" xfId="11" applyFont="1" applyAlignment="1">
      <alignment vertical="center" wrapText="1"/>
    </xf>
    <xf numFmtId="0" fontId="7" fillId="0" borderId="8" xfId="11" applyFont="1" applyBorder="1" applyAlignment="1" applyProtection="1">
      <alignment horizontal="left" vertical="center" indent="2"/>
      <protection locked="0"/>
    </xf>
    <xf numFmtId="0" fontId="7" fillId="0" borderId="0" xfId="11" applyFont="1" applyAlignment="1" applyProtection="1">
      <alignment vertical="center" wrapText="1"/>
      <protection locked="0"/>
    </xf>
    <xf numFmtId="0" fontId="7" fillId="0" borderId="17" xfId="11" applyFont="1" applyBorder="1" applyAlignment="1" applyProtection="1">
      <alignment horizontal="left" vertical="center" indent="2"/>
      <protection locked="0"/>
    </xf>
    <xf numFmtId="0" fontId="7" fillId="0" borderId="17" xfId="11" applyFont="1" applyBorder="1" applyAlignment="1">
      <alignment horizontal="left" vertical="center" indent="2"/>
    </xf>
    <xf numFmtId="0" fontId="19" fillId="0" borderId="17" xfId="11" applyFont="1" applyBorder="1" applyAlignment="1">
      <alignment horizontal="left" vertical="center" indent="2"/>
    </xf>
    <xf numFmtId="0" fontId="21" fillId="0" borderId="17" xfId="11" applyFont="1" applyBorder="1" applyAlignment="1">
      <alignment horizontal="left" vertical="center" indent="2"/>
    </xf>
    <xf numFmtId="0" fontId="7" fillId="0" borderId="0" xfId="11" applyFont="1" applyAlignment="1">
      <alignment vertical="center" wrapText="1"/>
    </xf>
    <xf numFmtId="0" fontId="21" fillId="8" borderId="0" xfId="11" applyFont="1" applyFill="1" applyAlignment="1">
      <alignment vertical="center" wrapText="1"/>
    </xf>
    <xf numFmtId="0" fontId="22" fillId="0" borderId="15" xfId="11" applyFont="1" applyBorder="1"/>
    <xf numFmtId="0" fontId="22" fillId="0" borderId="15" xfId="11" applyFont="1" applyBorder="1" applyAlignment="1">
      <alignment wrapText="1"/>
    </xf>
    <xf numFmtId="0" fontId="20" fillId="9" borderId="16" xfId="11" applyFont="1" applyFill="1" applyBorder="1" applyAlignment="1" applyProtection="1">
      <alignment horizontal="left" vertical="center"/>
      <protection locked="0"/>
    </xf>
    <xf numFmtId="0" fontId="19" fillId="8" borderId="16" xfId="11" applyFont="1" applyFill="1" applyBorder="1" applyAlignment="1" applyProtection="1">
      <alignment wrapText="1"/>
      <protection locked="0"/>
    </xf>
    <xf numFmtId="0" fontId="19" fillId="0" borderId="16" xfId="11" applyFont="1" applyBorder="1" applyAlignment="1" applyProtection="1">
      <alignment horizontal="left" vertical="center" indent="2"/>
      <protection locked="0"/>
    </xf>
    <xf numFmtId="0" fontId="19" fillId="0" borderId="16" xfId="11" applyFont="1" applyBorder="1" applyAlignment="1">
      <alignment wrapText="1"/>
    </xf>
    <xf numFmtId="0" fontId="7" fillId="0" borderId="16" xfId="11" applyFont="1" applyBorder="1" applyAlignment="1" applyProtection="1">
      <alignment horizontal="left" vertical="center" indent="2"/>
      <protection locked="0"/>
    </xf>
    <xf numFmtId="3" fontId="19" fillId="0" borderId="16" xfId="11" applyNumberFormat="1" applyFont="1" applyBorder="1" applyAlignment="1" applyProtection="1">
      <alignment horizontal="left" vertical="center" indent="2"/>
      <protection locked="0"/>
    </xf>
    <xf numFmtId="0" fontId="19" fillId="0" borderId="0" xfId="11" applyFont="1" applyAlignment="1">
      <alignment horizontal="left" vertical="center"/>
    </xf>
    <xf numFmtId="0" fontId="20" fillId="9" borderId="18" xfId="11" applyFont="1" applyFill="1" applyBorder="1" applyAlignment="1" applyProtection="1">
      <alignment horizontal="left" vertical="center"/>
      <protection locked="0"/>
    </xf>
    <xf numFmtId="0" fontId="20" fillId="9" borderId="1" xfId="11" applyFont="1" applyFill="1" applyBorder="1" applyAlignment="1" applyProtection="1">
      <alignment wrapText="1"/>
      <protection locked="0"/>
    </xf>
    <xf numFmtId="0" fontId="21" fillId="8" borderId="2" xfId="11" applyFont="1" applyFill="1" applyBorder="1" applyAlignment="1" applyProtection="1">
      <alignment horizontal="left" vertical="center"/>
      <protection locked="0"/>
    </xf>
    <xf numFmtId="0" fontId="19" fillId="8" borderId="2" xfId="11" applyFont="1" applyFill="1" applyBorder="1" applyAlignment="1" applyProtection="1">
      <alignment wrapText="1"/>
      <protection locked="0"/>
    </xf>
    <xf numFmtId="0" fontId="19" fillId="0" borderId="2" xfId="11" applyFont="1" applyBorder="1" applyAlignment="1" applyProtection="1">
      <alignment horizontal="left" vertical="center" indent="2"/>
      <protection locked="0"/>
    </xf>
    <xf numFmtId="3" fontId="19" fillId="0" borderId="2" xfId="11" applyNumberFormat="1" applyFont="1" applyBorder="1" applyAlignment="1" applyProtection="1">
      <alignment wrapText="1"/>
      <protection locked="0"/>
    </xf>
    <xf numFmtId="0" fontId="7" fillId="0" borderId="2" xfId="11" applyFont="1" applyBorder="1" applyAlignment="1" applyProtection="1">
      <alignment horizontal="left" vertical="center" indent="2"/>
      <protection locked="0"/>
    </xf>
    <xf numFmtId="0" fontId="21" fillId="0" borderId="2" xfId="11" applyFont="1" applyBorder="1" applyAlignment="1" applyProtection="1">
      <alignment horizontal="left" vertical="center" indent="2"/>
      <protection locked="0"/>
    </xf>
    <xf numFmtId="3" fontId="21" fillId="0" borderId="2" xfId="11" applyNumberFormat="1" applyFont="1" applyBorder="1" applyAlignment="1" applyProtection="1">
      <alignment wrapText="1"/>
      <protection locked="0"/>
    </xf>
    <xf numFmtId="3" fontId="21" fillId="8" borderId="2" xfId="11" applyNumberFormat="1" applyFont="1" applyFill="1" applyBorder="1" applyAlignment="1" applyProtection="1">
      <alignment wrapText="1"/>
      <protection locked="0"/>
    </xf>
    <xf numFmtId="0" fontId="20" fillId="9" borderId="2" xfId="11" applyFont="1" applyFill="1" applyBorder="1" applyAlignment="1" applyProtection="1">
      <alignment horizontal="left" vertical="center"/>
      <protection locked="0"/>
    </xf>
    <xf numFmtId="3" fontId="20" fillId="9" borderId="2" xfId="11" applyNumberFormat="1" applyFont="1" applyFill="1" applyBorder="1" applyAlignment="1" applyProtection="1">
      <alignment wrapText="1"/>
      <protection locked="0"/>
    </xf>
    <xf numFmtId="0" fontId="21" fillId="0" borderId="2" xfId="11" applyFont="1" applyBorder="1" applyAlignment="1" applyProtection="1">
      <alignment horizontal="left" vertical="center"/>
      <protection locked="0"/>
    </xf>
    <xf numFmtId="0" fontId="19" fillId="0" borderId="0" xfId="11" applyFont="1" applyAlignment="1">
      <alignment vertical="center"/>
    </xf>
    <xf numFmtId="0" fontId="20" fillId="9" borderId="22" xfId="11" applyFont="1" applyFill="1" applyBorder="1" applyAlignment="1">
      <alignment vertical="center"/>
    </xf>
    <xf numFmtId="0" fontId="20" fillId="9" borderId="21" xfId="11" applyFont="1" applyFill="1" applyBorder="1" applyAlignment="1">
      <alignment wrapText="1"/>
    </xf>
    <xf numFmtId="0" fontId="21" fillId="0" borderId="16" xfId="11" applyFont="1" applyBorder="1" applyAlignment="1">
      <alignment vertical="center"/>
    </xf>
    <xf numFmtId="0" fontId="19" fillId="0" borderId="16" xfId="11" applyFont="1" applyBorder="1" applyAlignment="1">
      <alignment horizontal="left" vertical="center" indent="2"/>
    </xf>
    <xf numFmtId="0" fontId="7" fillId="0" borderId="16" xfId="11" applyFont="1" applyBorder="1" applyAlignment="1">
      <alignment horizontal="left" vertical="center" indent="2"/>
    </xf>
    <xf numFmtId="0" fontId="18" fillId="0" borderId="16" xfId="11" applyFont="1" applyBorder="1" applyAlignment="1">
      <alignment vertical="center"/>
    </xf>
    <xf numFmtId="0" fontId="21" fillId="8" borderId="16" xfId="11" applyFont="1" applyFill="1" applyBorder="1" applyAlignment="1" applyProtection="1">
      <alignment vertical="center"/>
      <protection locked="0"/>
    </xf>
    <xf numFmtId="0" fontId="20" fillId="9" borderId="16" xfId="11" applyFont="1" applyFill="1" applyBorder="1" applyAlignment="1">
      <alignment vertical="center"/>
    </xf>
    <xf numFmtId="0" fontId="20" fillId="9" borderId="22" xfId="11" applyFont="1" applyFill="1" applyBorder="1" applyAlignment="1">
      <alignment vertical="center" wrapText="1"/>
    </xf>
    <xf numFmtId="0" fontId="19" fillId="0" borderId="16" xfId="11" applyFont="1" applyBorder="1"/>
    <xf numFmtId="5" fontId="19" fillId="0" borderId="16" xfId="12" applyNumberFormat="1" applyFont="1" applyFill="1" applyBorder="1" applyAlignment="1">
      <alignment horizontal="left" wrapText="1"/>
    </xf>
    <xf numFmtId="9" fontId="19" fillId="0" borderId="16" xfId="11" applyNumberFormat="1" applyFont="1" applyBorder="1" applyAlignment="1">
      <alignment horizontal="left" wrapText="1"/>
    </xf>
    <xf numFmtId="9" fontId="7" fillId="0" borderId="16" xfId="13" applyNumberFormat="1" applyFont="1" applyFill="1" applyBorder="1" applyAlignment="1">
      <alignment horizontal="left" wrapText="1"/>
    </xf>
    <xf numFmtId="0" fontId="21" fillId="0" borderId="16" xfId="11" applyFont="1" applyBorder="1"/>
    <xf numFmtId="5" fontId="21" fillId="0" borderId="16" xfId="12" applyNumberFormat="1" applyFont="1" applyFill="1" applyBorder="1" applyAlignment="1">
      <alignment horizontal="left" wrapText="1"/>
    </xf>
    <xf numFmtId="0" fontId="7" fillId="0" borderId="16" xfId="11" applyFont="1" applyBorder="1"/>
    <xf numFmtId="5" fontId="7" fillId="0" borderId="16" xfId="12" applyNumberFormat="1" applyFont="1" applyFill="1" applyBorder="1" applyAlignment="1">
      <alignment horizontal="left" wrapText="1"/>
    </xf>
    <xf numFmtId="0" fontId="19" fillId="0" borderId="0" xfId="11" applyFont="1" applyAlignment="1">
      <alignment horizontal="left" vertical="center" wrapText="1"/>
    </xf>
    <xf numFmtId="0" fontId="20" fillId="9" borderId="16" xfId="11" applyFont="1" applyFill="1" applyBorder="1" applyAlignment="1" applyProtection="1">
      <alignment horizontal="left" vertical="center" wrapText="1"/>
      <protection locked="0"/>
    </xf>
    <xf numFmtId="0" fontId="19" fillId="0" borderId="16" xfId="11" applyFont="1" applyBorder="1" applyAlignment="1">
      <alignment horizontal="left" vertical="center" wrapText="1"/>
    </xf>
    <xf numFmtId="49" fontId="20" fillId="9" borderId="16" xfId="11" quotePrefix="1" applyNumberFormat="1" applyFont="1" applyFill="1" applyBorder="1" applyAlignment="1" applyProtection="1">
      <alignment horizontal="left" vertical="center" wrapText="1"/>
      <protection locked="0"/>
    </xf>
    <xf numFmtId="0" fontId="20" fillId="9" borderId="16" xfId="11" applyFont="1" applyFill="1" applyBorder="1" applyAlignment="1" applyProtection="1">
      <alignment vertical="center"/>
      <protection locked="0"/>
    </xf>
    <xf numFmtId="0" fontId="19" fillId="8" borderId="16" xfId="11" applyFont="1" applyFill="1" applyBorder="1" applyAlignment="1" applyProtection="1">
      <alignment vertical="center" wrapText="1"/>
      <protection locked="0"/>
    </xf>
    <xf numFmtId="0" fontId="19" fillId="0" borderId="16" xfId="11" applyFont="1" applyBorder="1" applyAlignment="1">
      <alignment horizontal="left" vertical="center" wrapText="1" indent="2"/>
    </xf>
    <xf numFmtId="0" fontId="19" fillId="0" borderId="16" xfId="11" applyFont="1" applyBorder="1" applyAlignment="1">
      <alignment vertical="center" wrapText="1"/>
    </xf>
    <xf numFmtId="0" fontId="21" fillId="0" borderId="16" xfId="11" applyFont="1" applyBorder="1" applyAlignment="1">
      <alignment vertical="center" wrapText="1"/>
    </xf>
    <xf numFmtId="0" fontId="7" fillId="0" borderId="16" xfId="11" applyFont="1" applyBorder="1" applyAlignment="1">
      <alignment horizontal="left" vertical="center" wrapText="1" indent="2"/>
    </xf>
    <xf numFmtId="0" fontId="18" fillId="0" borderId="16" xfId="11" applyFont="1" applyBorder="1" applyAlignment="1">
      <alignment vertical="center" wrapText="1"/>
    </xf>
    <xf numFmtId="0" fontId="17" fillId="0" borderId="37" xfId="0" applyFont="1" applyBorder="1" applyAlignment="1"/>
    <xf numFmtId="0" fontId="8" fillId="0" borderId="38" xfId="0" applyFont="1" applyBorder="1" applyAlignment="1">
      <alignment vertical="top" wrapText="1"/>
    </xf>
    <xf numFmtId="0" fontId="8" fillId="0" borderId="38" xfId="0" applyFont="1" applyBorder="1" applyAlignment="1">
      <alignment wrapText="1"/>
    </xf>
    <xf numFmtId="0" fontId="19" fillId="0" borderId="0" xfId="11" applyFont="1" applyAlignment="1">
      <alignment horizontal="left" vertical="center" indent="2"/>
    </xf>
    <xf numFmtId="0" fontId="19" fillId="0" borderId="16" xfId="0" applyFont="1" applyBorder="1" applyAlignment="1">
      <alignment wrapText="1"/>
    </xf>
    <xf numFmtId="0" fontId="19" fillId="0" borderId="16" xfId="0" applyFont="1" applyBorder="1" applyAlignment="1"/>
    <xf numFmtId="0" fontId="19" fillId="0" borderId="2" xfId="0" applyFont="1" applyBorder="1" applyAlignment="1" applyProtection="1">
      <alignment horizontal="left" vertical="center" indent="2"/>
      <protection locked="0"/>
    </xf>
    <xf numFmtId="3" fontId="19" fillId="0" borderId="2" xfId="0" applyNumberFormat="1" applyFont="1" applyBorder="1" applyAlignment="1" applyProtection="1">
      <alignment wrapText="1"/>
      <protection locked="0"/>
    </xf>
    <xf numFmtId="0" fontId="8" fillId="0" borderId="0" xfId="0" applyFont="1" applyAlignment="1">
      <alignment horizontal="left" wrapText="1"/>
    </xf>
    <xf numFmtId="0" fontId="8" fillId="11" borderId="26" xfId="0" applyFont="1" applyFill="1" applyBorder="1" applyAlignment="1">
      <alignment horizontal="left" vertical="top" wrapText="1"/>
    </xf>
    <xf numFmtId="0" fontId="8" fillId="11" borderId="0" xfId="0" applyFont="1" applyFill="1" applyAlignment="1">
      <alignment horizontal="left" vertical="top" wrapText="1"/>
    </xf>
    <xf numFmtId="0" fontId="8" fillId="11" borderId="27" xfId="0" applyFont="1" applyFill="1" applyBorder="1" applyAlignment="1">
      <alignment horizontal="left" vertical="top" wrapText="1"/>
    </xf>
    <xf numFmtId="0" fontId="8" fillId="11" borderId="28" xfId="0" applyFont="1" applyFill="1" applyBorder="1" applyAlignment="1">
      <alignment horizontal="left" vertical="top" wrapText="1"/>
    </xf>
    <xf numFmtId="0" fontId="8" fillId="11" borderId="29" xfId="0" applyFont="1" applyFill="1" applyBorder="1" applyAlignment="1">
      <alignment horizontal="left" vertical="top" wrapText="1"/>
    </xf>
    <xf numFmtId="0" fontId="8" fillId="11" borderId="30" xfId="0" applyFont="1" applyFill="1" applyBorder="1" applyAlignment="1">
      <alignment horizontal="left" vertical="top" wrapText="1"/>
    </xf>
    <xf numFmtId="0" fontId="5" fillId="11" borderId="23" xfId="0" applyFont="1" applyFill="1" applyBorder="1" applyAlignment="1">
      <alignment horizontal="left"/>
    </xf>
    <xf numFmtId="0" fontId="5" fillId="11" borderId="24" xfId="0" applyFont="1" applyFill="1" applyBorder="1" applyAlignment="1">
      <alignment horizontal="left"/>
    </xf>
    <xf numFmtId="0" fontId="5" fillId="11" borderId="25" xfId="0" applyFont="1" applyFill="1" applyBorder="1" applyAlignment="1">
      <alignment horizontal="left"/>
    </xf>
    <xf numFmtId="0" fontId="5" fillId="11" borderId="23" xfId="0" applyFont="1" applyFill="1" applyBorder="1" applyAlignment="1" applyProtection="1">
      <alignment horizontal="left"/>
      <protection locked="0"/>
    </xf>
    <xf numFmtId="0" fontId="5" fillId="11" borderId="24" xfId="0" applyFont="1" applyFill="1" applyBorder="1" applyAlignment="1" applyProtection="1">
      <alignment horizontal="left"/>
      <protection locked="0"/>
    </xf>
    <xf numFmtId="0" fontId="5" fillId="11" borderId="25" xfId="0" applyFont="1" applyFill="1" applyBorder="1" applyAlignment="1" applyProtection="1">
      <alignment horizontal="left"/>
      <protection locked="0"/>
    </xf>
    <xf numFmtId="0" fontId="14" fillId="6" borderId="0" xfId="0" applyFont="1" applyFill="1" applyAlignment="1">
      <alignment horizontal="left"/>
    </xf>
    <xf numFmtId="0" fontId="8" fillId="5" borderId="16" xfId="0" applyFont="1" applyFill="1" applyBorder="1" applyAlignment="1" applyProtection="1">
      <alignment horizontal="left" vertical="top" wrapText="1"/>
      <protection locked="0"/>
    </xf>
    <xf numFmtId="0" fontId="8" fillId="5" borderId="31" xfId="0" applyFont="1" applyFill="1" applyBorder="1" applyAlignment="1" applyProtection="1">
      <alignment horizontal="left" vertical="top" wrapText="1"/>
      <protection locked="0"/>
    </xf>
    <xf numFmtId="0" fontId="8" fillId="5" borderId="33" xfId="0" applyFont="1" applyFill="1" applyBorder="1" applyAlignment="1" applyProtection="1">
      <alignment horizontal="left" vertical="top" wrapText="1"/>
      <protection locked="0"/>
    </xf>
    <xf numFmtId="0" fontId="8" fillId="5" borderId="34" xfId="0" applyFont="1" applyFill="1" applyBorder="1" applyAlignment="1" applyProtection="1">
      <alignment horizontal="left" vertical="top" wrapText="1"/>
      <protection locked="0"/>
    </xf>
    <xf numFmtId="0" fontId="8" fillId="11" borderId="26" xfId="0" applyFont="1" applyFill="1" applyBorder="1" applyAlignment="1" applyProtection="1">
      <alignment horizontal="left" vertical="top" wrapText="1"/>
      <protection locked="0"/>
    </xf>
    <xf numFmtId="0" fontId="8" fillId="11" borderId="0" xfId="0" applyFont="1" applyFill="1" applyAlignment="1" applyProtection="1">
      <alignment horizontal="left" vertical="top" wrapText="1"/>
      <protection locked="0"/>
    </xf>
    <xf numFmtId="0" fontId="8" fillId="11" borderId="27" xfId="0" applyFont="1" applyFill="1" applyBorder="1" applyAlignment="1" applyProtection="1">
      <alignment horizontal="left" vertical="top" wrapText="1"/>
      <protection locked="0"/>
    </xf>
    <xf numFmtId="0" fontId="8" fillId="11" borderId="28" xfId="0" applyFont="1" applyFill="1" applyBorder="1" applyAlignment="1" applyProtection="1">
      <alignment horizontal="left" vertical="top" wrapText="1"/>
      <protection locked="0"/>
    </xf>
    <xf numFmtId="0" fontId="8" fillId="11" borderId="29" xfId="0" applyFont="1" applyFill="1" applyBorder="1" applyAlignment="1" applyProtection="1">
      <alignment horizontal="left" vertical="top" wrapText="1"/>
      <protection locked="0"/>
    </xf>
    <xf numFmtId="0" fontId="8" fillId="11" borderId="30" xfId="0" applyFont="1" applyFill="1" applyBorder="1" applyAlignment="1" applyProtection="1">
      <alignment horizontal="left" vertical="top" wrapText="1"/>
      <protection locked="0"/>
    </xf>
    <xf numFmtId="0" fontId="8" fillId="11" borderId="23" xfId="0" applyFont="1" applyFill="1" applyBorder="1" applyAlignment="1">
      <alignment horizontal="left" vertical="top" wrapText="1"/>
    </xf>
    <xf numFmtId="0" fontId="8" fillId="11" borderId="24" xfId="0" applyFont="1" applyFill="1" applyBorder="1" applyAlignment="1">
      <alignment horizontal="left" vertical="top" wrapText="1"/>
    </xf>
    <xf numFmtId="0" fontId="8" fillId="11" borderId="25" xfId="0" applyFont="1" applyFill="1" applyBorder="1" applyAlignment="1">
      <alignment horizontal="left" vertical="top" wrapText="1"/>
    </xf>
    <xf numFmtId="5" fontId="5" fillId="0" borderId="29" xfId="0" applyNumberFormat="1" applyFont="1" applyBorder="1" applyAlignment="1">
      <alignment horizontal="left"/>
    </xf>
    <xf numFmtId="5" fontId="5" fillId="0" borderId="30" xfId="0" applyNumberFormat="1" applyFont="1" applyBorder="1" applyAlignment="1">
      <alignment horizontal="left"/>
    </xf>
    <xf numFmtId="0" fontId="13" fillId="9" borderId="26" xfId="0" applyFont="1" applyFill="1" applyBorder="1" applyAlignment="1">
      <alignment horizontal="center" textRotation="90"/>
    </xf>
    <xf numFmtId="0" fontId="5" fillId="8" borderId="26" xfId="0" applyFont="1" applyFill="1" applyBorder="1" applyAlignment="1">
      <alignment horizontal="center" textRotation="90"/>
    </xf>
    <xf numFmtId="0" fontId="8" fillId="0" borderId="0" xfId="0" applyFont="1" applyAlignment="1">
      <alignment horizontal="left"/>
    </xf>
    <xf numFmtId="5" fontId="5" fillId="0" borderId="0" xfId="3" applyNumberFormat="1" applyFont="1" applyBorder="1" applyAlignment="1">
      <alignment horizontal="left"/>
    </xf>
    <xf numFmtId="5" fontId="5" fillId="0" borderId="27" xfId="3" applyNumberFormat="1" applyFont="1" applyBorder="1" applyAlignment="1">
      <alignment horizontal="left"/>
    </xf>
    <xf numFmtId="5" fontId="8" fillId="0" borderId="0" xfId="3" applyNumberFormat="1" applyFont="1" applyFill="1" applyBorder="1" applyAlignment="1">
      <alignment horizontal="left"/>
    </xf>
    <xf numFmtId="5" fontId="8" fillId="0" borderId="27" xfId="3" applyNumberFormat="1" applyFont="1" applyFill="1" applyBorder="1" applyAlignment="1">
      <alignment horizontal="left"/>
    </xf>
  </cellXfs>
  <cellStyles count="14">
    <cellStyle name="Comma" xfId="1" builtinId="3"/>
    <cellStyle name="Comma0" xfId="2" xr:uid="{00000000-0005-0000-0000-000001000000}"/>
    <cellStyle name="Currency" xfId="3" builtinId="4"/>
    <cellStyle name="Currency 2" xfId="12" xr:uid="{307E99D7-2044-4096-84DE-B2D7892349A3}"/>
    <cellStyle name="Currency0" xfId="4" xr:uid="{00000000-0005-0000-0000-000003000000}"/>
    <cellStyle name="Date" xfId="5" xr:uid="{00000000-0005-0000-0000-000004000000}"/>
    <cellStyle name="Fixed" xfId="6" xr:uid="{00000000-0005-0000-0000-000005000000}"/>
    <cellStyle name="Heading 1" xfId="7" builtinId="16" customBuiltin="1"/>
    <cellStyle name="Heading 2" xfId="8" builtinId="17" customBuiltin="1"/>
    <cellStyle name="Normal" xfId="0" builtinId="0"/>
    <cellStyle name="Normal 2" xfId="11" xr:uid="{FAAC244B-766D-4764-AD10-6307A1EB9DA3}"/>
    <cellStyle name="Percent" xfId="9" builtinId="5"/>
    <cellStyle name="Percent 2" xfId="13" xr:uid="{33B5D06D-F8F9-4B6B-9FD1-78F59721ACC8}"/>
    <cellStyle name="Total" xfId="10" builtinId="25"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Wolff, Robin" id="{7230003E-8EB1-4955-93DB-4BBFF38F9C6D}" userId="S::robinwolff@enterprisecommunity.org::0d1e1a40-6d49-41c4-8ec9-3dda322d22f0"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23" dT="2020-09-25T21:01:46.78" personId="{7230003E-8EB1-4955-93DB-4BBFF38F9C6D}" id="{A4406528-7CD6-4DDA-9F8B-BF0D2536DC0C}">
    <text>A capitalization rate – or cap rate – is a formula that allows you to determine the financial benefits of different investment properties. It enables you to weigh the income you would potentially generate in the first year of owning the property against the cost of purchasing the property. In this way, it can be thought of as the rate of return you’d receive on your investment.</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057-2BA3-4AB1-811A-0681C2767951}">
  <dimension ref="A1:A4"/>
  <sheetViews>
    <sheetView workbookViewId="0">
      <selection activeCell="A3" sqref="A3"/>
    </sheetView>
  </sheetViews>
  <sheetFormatPr defaultRowHeight="15"/>
  <cols>
    <col min="1" max="1" width="103.77734375" customWidth="1"/>
  </cols>
  <sheetData>
    <row r="1" spans="1:1" ht="21">
      <c r="A1" s="308" t="s">
        <v>0</v>
      </c>
    </row>
    <row r="2" spans="1:1" ht="270.60000000000002" customHeight="1" thickBot="1">
      <c r="A2" s="309" t="s">
        <v>1</v>
      </c>
    </row>
    <row r="3" spans="1:1" ht="30" customHeight="1">
      <c r="A3" s="308" t="s">
        <v>2</v>
      </c>
    </row>
    <row r="4" spans="1:1" ht="162.75" customHeight="1" thickBot="1">
      <c r="A4" s="310" t="s">
        <v>3</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02C32-E769-4CAA-A68D-84E34CBED57A}">
  <sheetPr>
    <tabColor rgb="FFFF0000"/>
  </sheetPr>
  <dimension ref="A1:B7"/>
  <sheetViews>
    <sheetView workbookViewId="0"/>
  </sheetViews>
  <sheetFormatPr defaultColWidth="8.77734375" defaultRowHeight="13.15"/>
  <cols>
    <col min="1" max="1" width="23.44140625" style="297" bestFit="1" customWidth="1"/>
    <col min="2" max="2" width="62.109375" style="297" bestFit="1" customWidth="1"/>
    <col min="3" max="16384" width="8.77734375" style="297"/>
  </cols>
  <sheetData>
    <row r="1" spans="1:2" ht="26.45">
      <c r="A1" s="298" t="s">
        <v>211</v>
      </c>
      <c r="B1" s="299" t="s">
        <v>383</v>
      </c>
    </row>
    <row r="2" spans="1:2" ht="26.45">
      <c r="A2" s="298" t="s">
        <v>384</v>
      </c>
      <c r="B2" s="299" t="s">
        <v>385</v>
      </c>
    </row>
    <row r="3" spans="1:2" ht="26.45">
      <c r="A3" s="298" t="s">
        <v>213</v>
      </c>
      <c r="B3" s="299" t="s">
        <v>386</v>
      </c>
    </row>
    <row r="4" spans="1:2" ht="39.6">
      <c r="A4" s="298" t="s">
        <v>387</v>
      </c>
      <c r="B4" s="299" t="s">
        <v>388</v>
      </c>
    </row>
    <row r="5" spans="1:2">
      <c r="A5" s="298" t="s">
        <v>194</v>
      </c>
      <c r="B5" s="299" t="s">
        <v>331</v>
      </c>
    </row>
    <row r="6" spans="1:2" ht="33" customHeight="1">
      <c r="A6" s="298" t="s">
        <v>389</v>
      </c>
      <c r="B6" s="299" t="s">
        <v>390</v>
      </c>
    </row>
    <row r="7" spans="1:2">
      <c r="A7" s="300" t="s">
        <v>391</v>
      </c>
      <c r="B7" s="299" t="s">
        <v>392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27598-0F97-40C6-A4D1-2EC5010974B1}">
  <sheetPr>
    <tabColor rgb="FFFF0000"/>
  </sheetPr>
  <dimension ref="A1:B20"/>
  <sheetViews>
    <sheetView workbookViewId="0">
      <selection activeCell="A25" sqref="A25"/>
    </sheetView>
  </sheetViews>
  <sheetFormatPr defaultColWidth="8.77734375" defaultRowHeight="13.15"/>
  <cols>
    <col min="1" max="1" width="40" style="279" customWidth="1"/>
    <col min="2" max="2" width="72.44140625" style="279" customWidth="1"/>
    <col min="3" max="16384" width="8.77734375" style="279"/>
  </cols>
  <sheetData>
    <row r="1" spans="1:2">
      <c r="A1" s="301" t="s">
        <v>393</v>
      </c>
      <c r="B1" s="302" t="s">
        <v>326</v>
      </c>
    </row>
    <row r="2" spans="1:2" ht="26.45">
      <c r="A2" s="303" t="s">
        <v>245</v>
      </c>
      <c r="B2" s="304" t="s">
        <v>394</v>
      </c>
    </row>
    <row r="3" spans="1:2">
      <c r="A3" s="303" t="s">
        <v>121</v>
      </c>
      <c r="B3" s="304" t="s">
        <v>328</v>
      </c>
    </row>
    <row r="4" spans="1:2" ht="26.45">
      <c r="A4" s="303" t="s">
        <v>246</v>
      </c>
      <c r="B4" s="304" t="s">
        <v>330</v>
      </c>
    </row>
    <row r="5" spans="1:2">
      <c r="A5" s="303" t="s">
        <v>247</v>
      </c>
      <c r="B5" s="304" t="s">
        <v>331</v>
      </c>
    </row>
    <row r="6" spans="1:2" ht="26.45">
      <c r="A6" s="303" t="s">
        <v>248</v>
      </c>
      <c r="B6" s="304" t="s">
        <v>395</v>
      </c>
    </row>
    <row r="7" spans="1:2">
      <c r="A7" s="303" t="s">
        <v>132</v>
      </c>
      <c r="B7" s="304" t="s">
        <v>396</v>
      </c>
    </row>
    <row r="8" spans="1:2">
      <c r="A8" s="303" t="s">
        <v>249</v>
      </c>
      <c r="B8" s="304" t="s">
        <v>397</v>
      </c>
    </row>
    <row r="9" spans="1:2" ht="26.45">
      <c r="A9" s="303" t="s">
        <v>250</v>
      </c>
      <c r="B9" s="304" t="s">
        <v>398</v>
      </c>
    </row>
    <row r="10" spans="1:2">
      <c r="A10" s="303" t="s">
        <v>251</v>
      </c>
      <c r="B10" s="304" t="s">
        <v>399</v>
      </c>
    </row>
    <row r="11" spans="1:2" ht="26.45">
      <c r="A11" s="303" t="s">
        <v>252</v>
      </c>
      <c r="B11" s="304" t="s">
        <v>400</v>
      </c>
    </row>
    <row r="12" spans="1:2">
      <c r="A12" s="304"/>
      <c r="B12" s="304"/>
    </row>
    <row r="13" spans="1:2">
      <c r="A13" s="305" t="s">
        <v>253</v>
      </c>
      <c r="B13" s="304" t="s">
        <v>401</v>
      </c>
    </row>
    <row r="14" spans="1:2">
      <c r="A14" s="303" t="s">
        <v>254</v>
      </c>
      <c r="B14" s="304" t="s">
        <v>402</v>
      </c>
    </row>
    <row r="15" spans="1:2" ht="30.75" customHeight="1">
      <c r="A15" s="303" t="s">
        <v>258</v>
      </c>
      <c r="B15" s="304" t="s">
        <v>403</v>
      </c>
    </row>
    <row r="16" spans="1:2">
      <c r="A16" s="306" t="s">
        <v>404</v>
      </c>
      <c r="B16" s="304" t="s">
        <v>405</v>
      </c>
    </row>
    <row r="17" spans="1:2">
      <c r="A17" s="303" t="s">
        <v>406</v>
      </c>
      <c r="B17" s="304" t="s">
        <v>407</v>
      </c>
    </row>
    <row r="18" spans="1:2" ht="49.5" customHeight="1">
      <c r="A18" s="306" t="s">
        <v>257</v>
      </c>
      <c r="B18" s="304" t="s">
        <v>408</v>
      </c>
    </row>
    <row r="19" spans="1:2">
      <c r="A19" s="306"/>
      <c r="B19" s="304"/>
    </row>
    <row r="20" spans="1:2">
      <c r="A20" s="307" t="s">
        <v>409</v>
      </c>
      <c r="B20" s="304" t="s">
        <v>410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R85"/>
  <sheetViews>
    <sheetView zoomScale="80" zoomScaleNormal="80" workbookViewId="0">
      <selection activeCell="B3" sqref="B3"/>
    </sheetView>
  </sheetViews>
  <sheetFormatPr defaultColWidth="7.109375" defaultRowHeight="15"/>
  <cols>
    <col min="1" max="1" width="24.21875" style="11" customWidth="1"/>
    <col min="2" max="2" width="26.21875" style="11" customWidth="1"/>
    <col min="3" max="3" width="18" style="11" customWidth="1"/>
    <col min="4" max="4" width="18.77734375" style="11" customWidth="1"/>
    <col min="5" max="5" width="15.77734375" style="11" customWidth="1"/>
    <col min="6" max="6" width="6.77734375" style="11" customWidth="1"/>
    <col min="7" max="7" width="24.77734375" style="11" bestFit="1" customWidth="1"/>
    <col min="8" max="8" width="7.77734375" style="11" customWidth="1"/>
    <col min="9" max="9" width="3.109375" customWidth="1"/>
    <col min="10" max="24" width="11.5546875" customWidth="1"/>
  </cols>
  <sheetData>
    <row r="1" spans="1:18" ht="15.6">
      <c r="A1" s="4" t="s">
        <v>4</v>
      </c>
      <c r="B1" s="182" t="s">
        <v>5</v>
      </c>
      <c r="J1" s="323" t="s">
        <v>6</v>
      </c>
      <c r="K1" s="324"/>
      <c r="L1" s="324"/>
      <c r="M1" s="324"/>
      <c r="N1" s="324"/>
      <c r="O1" s="324"/>
      <c r="P1" s="324"/>
      <c r="Q1" s="324"/>
      <c r="R1" s="325"/>
    </row>
    <row r="2" spans="1:18" ht="18" customHeight="1">
      <c r="A2" s="4" t="s">
        <v>7</v>
      </c>
      <c r="B2" s="183">
        <v>44835</v>
      </c>
      <c r="J2" s="317" t="s">
        <v>8</v>
      </c>
      <c r="K2" s="318"/>
      <c r="L2" s="318"/>
      <c r="M2" s="318"/>
      <c r="N2" s="318"/>
      <c r="O2" s="318"/>
      <c r="P2" s="318"/>
      <c r="Q2" s="318"/>
      <c r="R2" s="319"/>
    </row>
    <row r="3" spans="1:18">
      <c r="J3" s="317"/>
      <c r="K3" s="318"/>
      <c r="L3" s="318"/>
      <c r="M3" s="318"/>
      <c r="N3" s="318"/>
      <c r="O3" s="318"/>
      <c r="P3" s="318"/>
      <c r="Q3" s="318"/>
      <c r="R3" s="319"/>
    </row>
    <row r="4" spans="1:18" ht="25.15" thickBot="1">
      <c r="A4" s="57" t="s">
        <v>9</v>
      </c>
      <c r="J4" s="317"/>
      <c r="K4" s="318"/>
      <c r="L4" s="318"/>
      <c r="M4" s="318"/>
      <c r="N4" s="318"/>
      <c r="O4" s="318"/>
      <c r="P4" s="318"/>
      <c r="Q4" s="318"/>
      <c r="R4" s="319"/>
    </row>
    <row r="5" spans="1:18" ht="15.6">
      <c r="A5" s="157" t="s">
        <v>10</v>
      </c>
      <c r="B5" s="130"/>
      <c r="C5" s="172" t="s">
        <v>11</v>
      </c>
      <c r="D5" s="172" t="s">
        <v>12</v>
      </c>
      <c r="E5" s="204" t="s">
        <v>13</v>
      </c>
      <c r="G5" s="68" t="s">
        <v>14</v>
      </c>
      <c r="H5" s="184">
        <f>'Operating Pro Forma'!C24</f>
        <v>28516</v>
      </c>
      <c r="J5" s="317"/>
      <c r="K5" s="318"/>
      <c r="L5" s="318"/>
      <c r="M5" s="318"/>
      <c r="N5" s="318"/>
      <c r="O5" s="318"/>
      <c r="P5" s="318"/>
      <c r="Q5" s="318"/>
      <c r="R5" s="319"/>
    </row>
    <row r="6" spans="1:18" ht="15.6">
      <c r="A6" s="205" t="s">
        <v>15</v>
      </c>
      <c r="B6" s="18"/>
      <c r="C6" s="206"/>
      <c r="D6" s="206"/>
      <c r="E6" s="207"/>
      <c r="G6" s="69" t="s">
        <v>16</v>
      </c>
      <c r="H6" s="185">
        <v>0</v>
      </c>
      <c r="J6" s="317"/>
      <c r="K6" s="318"/>
      <c r="L6" s="318"/>
      <c r="M6" s="318"/>
      <c r="N6" s="318"/>
      <c r="O6" s="318"/>
      <c r="P6" s="318"/>
      <c r="Q6" s="318"/>
      <c r="R6" s="319"/>
    </row>
    <row r="7" spans="1:18" ht="15.6">
      <c r="A7" s="114" t="s">
        <v>17</v>
      </c>
      <c r="C7" s="66">
        <v>70000</v>
      </c>
      <c r="D7" s="33">
        <f>(C7/$H$8)</f>
        <v>3500</v>
      </c>
      <c r="E7" s="208">
        <f>(C7/$H$7)</f>
        <v>2.4547622387431618</v>
      </c>
      <c r="G7" s="69" t="s">
        <v>18</v>
      </c>
      <c r="H7" s="186">
        <f>H5+H6</f>
        <v>28516</v>
      </c>
      <c r="J7" s="317"/>
      <c r="K7" s="318"/>
      <c r="L7" s="318"/>
      <c r="M7" s="318"/>
      <c r="N7" s="318"/>
      <c r="O7" s="318"/>
      <c r="P7" s="318"/>
      <c r="Q7" s="318"/>
      <c r="R7" s="319"/>
    </row>
    <row r="8" spans="1:18" ht="16.149999999999999" thickBot="1">
      <c r="A8" s="114" t="s">
        <v>19</v>
      </c>
      <c r="C8" s="21"/>
      <c r="D8" s="33">
        <f>(C8/$H$8)</f>
        <v>0</v>
      </c>
      <c r="E8" s="208">
        <f>(C8/$H$7)</f>
        <v>0</v>
      </c>
      <c r="G8" s="70" t="s">
        <v>20</v>
      </c>
      <c r="H8" s="231">
        <f>'Operating Pro Forma'!C23</f>
        <v>20</v>
      </c>
      <c r="J8" s="317"/>
      <c r="K8" s="318"/>
      <c r="L8" s="318"/>
      <c r="M8" s="318"/>
      <c r="N8" s="318"/>
      <c r="O8" s="318"/>
      <c r="P8" s="318"/>
      <c r="Q8" s="318"/>
      <c r="R8" s="319"/>
    </row>
    <row r="9" spans="1:18" ht="15.6">
      <c r="A9" s="69" t="s">
        <v>21</v>
      </c>
      <c r="B9" s="1"/>
      <c r="C9" s="15">
        <f>SUM(C7:C8)</f>
        <v>70000</v>
      </c>
      <c r="D9" s="15">
        <f>(C9/$H$8)</f>
        <v>3500</v>
      </c>
      <c r="E9" s="209">
        <f>(C9/$H$7)</f>
        <v>2.4547622387431618</v>
      </c>
      <c r="J9" s="317"/>
      <c r="K9" s="318"/>
      <c r="L9" s="318"/>
      <c r="M9" s="318"/>
      <c r="N9" s="318"/>
      <c r="O9" s="318"/>
      <c r="P9" s="318"/>
      <c r="Q9" s="318"/>
      <c r="R9" s="319"/>
    </row>
    <row r="10" spans="1:18" ht="15.6">
      <c r="A10" s="205" t="s">
        <v>22</v>
      </c>
      <c r="B10" s="18"/>
      <c r="C10" s="206"/>
      <c r="D10" s="206"/>
      <c r="E10" s="207"/>
      <c r="J10" s="317"/>
      <c r="K10" s="318"/>
      <c r="L10" s="318"/>
      <c r="M10" s="318"/>
      <c r="N10" s="318"/>
      <c r="O10" s="318"/>
      <c r="P10" s="318"/>
      <c r="Q10" s="318"/>
      <c r="R10" s="319"/>
    </row>
    <row r="11" spans="1:18">
      <c r="A11" s="114" t="s">
        <v>23</v>
      </c>
      <c r="C11" s="21"/>
      <c r="D11" s="33">
        <f>(C11/$H$8)</f>
        <v>0</v>
      </c>
      <c r="E11" s="208">
        <f>(C11/$H$7)</f>
        <v>0</v>
      </c>
      <c r="J11" s="317"/>
      <c r="K11" s="318"/>
      <c r="L11" s="318"/>
      <c r="M11" s="318"/>
      <c r="N11" s="318"/>
      <c r="O11" s="318"/>
      <c r="P11" s="318"/>
      <c r="Q11" s="318"/>
      <c r="R11" s="319"/>
    </row>
    <row r="12" spans="1:18">
      <c r="A12" s="114" t="s">
        <v>24</v>
      </c>
      <c r="C12" s="21"/>
      <c r="D12" s="33">
        <f>(C12/$H$8)</f>
        <v>0</v>
      </c>
      <c r="E12" s="208">
        <f>(C12/$H$7)</f>
        <v>0</v>
      </c>
      <c r="J12" s="317"/>
      <c r="K12" s="318"/>
      <c r="L12" s="318"/>
      <c r="M12" s="318"/>
      <c r="N12" s="318"/>
      <c r="O12" s="318"/>
      <c r="P12" s="318"/>
      <c r="Q12" s="318"/>
      <c r="R12" s="319"/>
    </row>
    <row r="13" spans="1:18">
      <c r="A13" s="114" t="s">
        <v>25</v>
      </c>
      <c r="C13" s="21"/>
      <c r="D13" s="33">
        <f>(C13/$H$8)</f>
        <v>0</v>
      </c>
      <c r="E13" s="208">
        <f>(C13/$H$7)</f>
        <v>0</v>
      </c>
      <c r="J13" s="317"/>
      <c r="K13" s="318"/>
      <c r="L13" s="318"/>
      <c r="M13" s="318"/>
      <c r="N13" s="318"/>
      <c r="O13" s="318"/>
      <c r="P13" s="318"/>
      <c r="Q13" s="318"/>
      <c r="R13" s="319"/>
    </row>
    <row r="14" spans="1:18" ht="15.6">
      <c r="A14" s="69" t="s">
        <v>21</v>
      </c>
      <c r="B14" s="1"/>
      <c r="C14" s="15">
        <f>SUM(C11:C13)</f>
        <v>0</v>
      </c>
      <c r="D14" s="15">
        <f>(C14/$H$8)</f>
        <v>0</v>
      </c>
      <c r="E14" s="209">
        <f>(C14/$H$7)</f>
        <v>0</v>
      </c>
      <c r="J14" s="317"/>
      <c r="K14" s="318"/>
      <c r="L14" s="318"/>
      <c r="M14" s="318"/>
      <c r="N14" s="318"/>
      <c r="O14" s="318"/>
      <c r="P14" s="318"/>
      <c r="Q14" s="318"/>
      <c r="R14" s="319"/>
    </row>
    <row r="15" spans="1:18" ht="15.6">
      <c r="A15" s="205" t="s">
        <v>26</v>
      </c>
      <c r="B15" s="18"/>
      <c r="C15" s="206"/>
      <c r="D15" s="206"/>
      <c r="E15" s="207"/>
      <c r="J15" s="317"/>
      <c r="K15" s="318"/>
      <c r="L15" s="318"/>
      <c r="M15" s="318"/>
      <c r="N15" s="318"/>
      <c r="O15" s="318"/>
      <c r="P15" s="318"/>
      <c r="Q15" s="318"/>
      <c r="R15" s="319"/>
    </row>
    <row r="16" spans="1:18">
      <c r="A16" s="114" t="s">
        <v>27</v>
      </c>
      <c r="C16" s="21">
        <v>50000</v>
      </c>
      <c r="D16" s="33">
        <f t="shared" ref="D16:D22" si="0">(C16/$H$8)</f>
        <v>2500</v>
      </c>
      <c r="E16" s="208">
        <f t="shared" ref="E16:E22" si="1">(C16/$H$7)</f>
        <v>1.7534015991022585</v>
      </c>
      <c r="J16" s="317"/>
      <c r="K16" s="318"/>
      <c r="L16" s="318"/>
      <c r="M16" s="318"/>
      <c r="N16" s="318"/>
      <c r="O16" s="318"/>
      <c r="P16" s="318"/>
      <c r="Q16" s="318"/>
      <c r="R16" s="319"/>
    </row>
    <row r="17" spans="1:18" ht="15.6" thickBot="1">
      <c r="A17" s="114" t="s">
        <v>28</v>
      </c>
      <c r="C17" s="21">
        <v>100000</v>
      </c>
      <c r="D17" s="33">
        <f t="shared" si="0"/>
        <v>5000</v>
      </c>
      <c r="E17" s="208">
        <f t="shared" si="1"/>
        <v>3.5068031982045169</v>
      </c>
      <c r="J17" s="320"/>
      <c r="K17" s="321"/>
      <c r="L17" s="321"/>
      <c r="M17" s="321"/>
      <c r="N17" s="321"/>
      <c r="O17" s="321"/>
      <c r="P17" s="321"/>
      <c r="Q17" s="321"/>
      <c r="R17" s="322"/>
    </row>
    <row r="18" spans="1:18">
      <c r="A18" s="114" t="s">
        <v>29</v>
      </c>
      <c r="C18" s="21">
        <v>3000000</v>
      </c>
      <c r="D18" s="33">
        <f t="shared" si="0"/>
        <v>150000</v>
      </c>
      <c r="E18" s="208">
        <f t="shared" si="1"/>
        <v>105.2040959461355</v>
      </c>
      <c r="K18" s="2"/>
    </row>
    <row r="19" spans="1:18">
      <c r="A19" s="114" t="s">
        <v>30</v>
      </c>
      <c r="C19" s="21"/>
      <c r="D19" s="33">
        <f t="shared" si="0"/>
        <v>0</v>
      </c>
      <c r="E19" s="208">
        <f t="shared" si="1"/>
        <v>0</v>
      </c>
    </row>
    <row r="20" spans="1:18">
      <c r="A20" s="114" t="s">
        <v>31</v>
      </c>
      <c r="C20" s="24">
        <v>250000</v>
      </c>
      <c r="D20" s="33">
        <f t="shared" si="0"/>
        <v>12500</v>
      </c>
      <c r="E20" s="208">
        <f t="shared" si="1"/>
        <v>8.7670079955112925</v>
      </c>
      <c r="F20" s="201">
        <f>+C20/(C11+C12+C18+C19+C21)</f>
        <v>8.3333333333333329E-2</v>
      </c>
      <c r="G20" s="8" t="s">
        <v>32</v>
      </c>
    </row>
    <row r="21" spans="1:18">
      <c r="A21" s="210" t="s">
        <v>33</v>
      </c>
      <c r="B21" s="14"/>
      <c r="C21" s="24"/>
      <c r="D21" s="33">
        <f t="shared" si="0"/>
        <v>0</v>
      </c>
      <c r="E21" s="208">
        <f t="shared" si="1"/>
        <v>0</v>
      </c>
      <c r="F21" s="187"/>
      <c r="G21" s="47"/>
    </row>
    <row r="22" spans="1:18" ht="15.6">
      <c r="A22" s="69" t="s">
        <v>21</v>
      </c>
      <c r="B22" s="1"/>
      <c r="C22" s="15">
        <f>SUM(C16:C21)</f>
        <v>3400000</v>
      </c>
      <c r="D22" s="15">
        <f t="shared" si="0"/>
        <v>170000</v>
      </c>
      <c r="E22" s="209">
        <f t="shared" si="1"/>
        <v>119.23130873895357</v>
      </c>
    </row>
    <row r="23" spans="1:18" ht="15.6">
      <c r="A23" s="205" t="s">
        <v>34</v>
      </c>
      <c r="B23" s="18"/>
      <c r="C23" s="206"/>
      <c r="D23" s="206"/>
      <c r="E23" s="207"/>
    </row>
    <row r="24" spans="1:18">
      <c r="A24" s="114" t="s">
        <v>35</v>
      </c>
      <c r="C24" s="67">
        <v>181212</v>
      </c>
      <c r="D24" s="33">
        <f t="shared" ref="D24:D31" si="2">(C24/$H$8)</f>
        <v>9060.6</v>
      </c>
      <c r="E24" s="208">
        <f t="shared" ref="E24:E31" si="3">(C24/$H$7)</f>
        <v>6.3547482115303691</v>
      </c>
      <c r="F24" s="6"/>
      <c r="G24" s="188"/>
    </row>
    <row r="25" spans="1:18">
      <c r="A25" s="114" t="s">
        <v>36</v>
      </c>
      <c r="C25" s="67">
        <v>60400</v>
      </c>
      <c r="D25" s="33">
        <f t="shared" si="2"/>
        <v>3020</v>
      </c>
      <c r="E25" s="208">
        <f t="shared" si="3"/>
        <v>2.1181091317155283</v>
      </c>
    </row>
    <row r="26" spans="1:18">
      <c r="A26" s="114" t="s">
        <v>37</v>
      </c>
      <c r="C26" s="21"/>
      <c r="D26" s="33">
        <f t="shared" si="2"/>
        <v>0</v>
      </c>
      <c r="E26" s="208">
        <f t="shared" si="3"/>
        <v>0</v>
      </c>
    </row>
    <row r="27" spans="1:18">
      <c r="A27" s="114" t="s">
        <v>38</v>
      </c>
      <c r="C27" s="67">
        <v>4000</v>
      </c>
      <c r="D27" s="33">
        <f t="shared" si="2"/>
        <v>200</v>
      </c>
      <c r="E27" s="208">
        <f t="shared" si="3"/>
        <v>0.14027212792818067</v>
      </c>
    </row>
    <row r="28" spans="1:18">
      <c r="A28" s="114" t="s">
        <v>39</v>
      </c>
      <c r="C28" s="21"/>
      <c r="D28" s="33">
        <f t="shared" si="2"/>
        <v>0</v>
      </c>
      <c r="E28" s="208">
        <f t="shared" si="3"/>
        <v>0</v>
      </c>
    </row>
    <row r="29" spans="1:18">
      <c r="A29" s="114" t="s">
        <v>40</v>
      </c>
      <c r="C29" s="67">
        <v>5750</v>
      </c>
      <c r="D29" s="33">
        <f t="shared" si="2"/>
        <v>287.5</v>
      </c>
      <c r="E29" s="208">
        <f t="shared" si="3"/>
        <v>0.20164118389675972</v>
      </c>
    </row>
    <row r="30" spans="1:18">
      <c r="A30" s="210" t="s">
        <v>41</v>
      </c>
      <c r="B30" s="13"/>
      <c r="C30" s="21"/>
      <c r="D30" s="33">
        <f t="shared" si="2"/>
        <v>0</v>
      </c>
      <c r="E30" s="208">
        <f t="shared" si="3"/>
        <v>0</v>
      </c>
    </row>
    <row r="31" spans="1:18" ht="15.6">
      <c r="A31" s="69" t="s">
        <v>21</v>
      </c>
      <c r="B31" s="1"/>
      <c r="C31" s="211">
        <f>SUM(C24:C30)</f>
        <v>251362</v>
      </c>
      <c r="D31" s="15">
        <f t="shared" si="2"/>
        <v>12568.1</v>
      </c>
      <c r="E31" s="209">
        <f t="shared" si="3"/>
        <v>8.8147706550708378</v>
      </c>
      <c r="F31" s="1"/>
      <c r="G31" s="1"/>
      <c r="H31" s="1"/>
    </row>
    <row r="32" spans="1:18" ht="15.6">
      <c r="A32" s="205" t="s">
        <v>42</v>
      </c>
      <c r="B32" s="18"/>
      <c r="C32" s="206"/>
      <c r="D32" s="206"/>
      <c r="E32" s="207"/>
    </row>
    <row r="33" spans="1:18">
      <c r="A33" s="114" t="s">
        <v>43</v>
      </c>
      <c r="C33" s="21"/>
      <c r="D33" s="33">
        <f t="shared" ref="D33:D39" si="4">(C33/$H$8)</f>
        <v>0</v>
      </c>
      <c r="E33" s="208">
        <f t="shared" ref="E33:E39" si="5">(C33/$H$7)</f>
        <v>0</v>
      </c>
    </row>
    <row r="34" spans="1:18" ht="16.899999999999999" customHeight="1">
      <c r="A34" s="114" t="s">
        <v>44</v>
      </c>
      <c r="C34" s="67">
        <v>2500</v>
      </c>
      <c r="D34" s="33">
        <f t="shared" si="4"/>
        <v>125</v>
      </c>
      <c r="E34" s="208">
        <f t="shared" si="5"/>
        <v>8.7670079955112917E-2</v>
      </c>
    </row>
    <row r="35" spans="1:18">
      <c r="A35" s="114" t="s">
        <v>45</v>
      </c>
      <c r="C35" s="67">
        <v>1117.6199999999999</v>
      </c>
      <c r="D35" s="33">
        <f t="shared" si="4"/>
        <v>55.880999999999993</v>
      </c>
      <c r="E35" s="208">
        <f t="shared" si="5"/>
        <v>3.9192733903773314E-2</v>
      </c>
    </row>
    <row r="36" spans="1:18">
      <c r="A36" s="114" t="s">
        <v>46</v>
      </c>
      <c r="C36" s="21"/>
      <c r="D36" s="33">
        <f t="shared" si="4"/>
        <v>0</v>
      </c>
      <c r="E36" s="208">
        <f t="shared" si="5"/>
        <v>0</v>
      </c>
    </row>
    <row r="37" spans="1:18">
      <c r="A37" s="114" t="s">
        <v>47</v>
      </c>
      <c r="C37" s="21"/>
      <c r="D37" s="33">
        <f t="shared" si="4"/>
        <v>0</v>
      </c>
      <c r="E37" s="208">
        <f t="shared" si="5"/>
        <v>0</v>
      </c>
    </row>
    <row r="38" spans="1:18" s="1" customFormat="1" ht="15.6">
      <c r="A38" s="210" t="s">
        <v>41</v>
      </c>
      <c r="B38" s="13"/>
      <c r="C38" s="21"/>
      <c r="D38" s="33">
        <f t="shared" si="4"/>
        <v>0</v>
      </c>
      <c r="E38" s="208">
        <f t="shared" si="5"/>
        <v>0</v>
      </c>
      <c r="F38" s="11"/>
      <c r="G38" s="11"/>
      <c r="H38" s="11"/>
      <c r="I38"/>
      <c r="J38"/>
      <c r="K38"/>
      <c r="L38"/>
      <c r="M38"/>
      <c r="N38"/>
      <c r="O38"/>
      <c r="P38"/>
      <c r="Q38"/>
      <c r="R38"/>
    </row>
    <row r="39" spans="1:18" ht="15.6">
      <c r="A39" s="69" t="s">
        <v>21</v>
      </c>
      <c r="B39" s="1"/>
      <c r="C39" s="211">
        <f>SUM(C33:C38)</f>
        <v>3617.62</v>
      </c>
      <c r="D39" s="15">
        <f t="shared" si="4"/>
        <v>180.881</v>
      </c>
      <c r="E39" s="209">
        <f t="shared" si="5"/>
        <v>0.12686281385888623</v>
      </c>
    </row>
    <row r="40" spans="1:18" ht="15.6">
      <c r="A40" s="205" t="s">
        <v>48</v>
      </c>
      <c r="B40" s="18"/>
      <c r="C40" s="206"/>
      <c r="D40" s="206"/>
      <c r="E40" s="207"/>
    </row>
    <row r="41" spans="1:18">
      <c r="A41" s="114" t="s">
        <v>49</v>
      </c>
      <c r="C41" s="21"/>
      <c r="D41" s="33">
        <f t="shared" ref="D41:D46" si="6">(C41/$H$8)</f>
        <v>0</v>
      </c>
      <c r="E41" s="208">
        <f t="shared" ref="E41:E46" si="7">(C41/$H$7)</f>
        <v>0</v>
      </c>
    </row>
    <row r="42" spans="1:18">
      <c r="A42" s="114" t="s">
        <v>50</v>
      </c>
      <c r="C42" s="21">
        <v>10000</v>
      </c>
      <c r="D42" s="33">
        <f t="shared" si="6"/>
        <v>500</v>
      </c>
      <c r="E42" s="208">
        <f t="shared" si="7"/>
        <v>0.35068031982045167</v>
      </c>
    </row>
    <row r="43" spans="1:18">
      <c r="A43" s="114" t="s">
        <v>46</v>
      </c>
      <c r="C43" s="21"/>
      <c r="D43" s="33">
        <f t="shared" si="6"/>
        <v>0</v>
      </c>
      <c r="E43" s="208">
        <f t="shared" si="7"/>
        <v>0</v>
      </c>
    </row>
    <row r="44" spans="1:18">
      <c r="A44" s="114" t="s">
        <v>47</v>
      </c>
      <c r="C44" s="21"/>
      <c r="D44" s="33">
        <f t="shared" si="6"/>
        <v>0</v>
      </c>
      <c r="E44" s="208">
        <f t="shared" si="7"/>
        <v>0</v>
      </c>
    </row>
    <row r="45" spans="1:18">
      <c r="A45" s="210" t="s">
        <v>41</v>
      </c>
      <c r="B45" s="13"/>
      <c r="C45" s="21"/>
      <c r="D45" s="33">
        <f t="shared" si="6"/>
        <v>0</v>
      </c>
      <c r="E45" s="208">
        <f t="shared" si="7"/>
        <v>0</v>
      </c>
    </row>
    <row r="46" spans="1:18" ht="15.6">
      <c r="A46" s="69" t="s">
        <v>21</v>
      </c>
      <c r="B46" s="1"/>
      <c r="C46" s="15">
        <f>SUM(C41:C45)</f>
        <v>10000</v>
      </c>
      <c r="D46" s="15">
        <f t="shared" si="6"/>
        <v>500</v>
      </c>
      <c r="E46" s="209">
        <f t="shared" si="7"/>
        <v>0.35068031982045167</v>
      </c>
    </row>
    <row r="47" spans="1:18" ht="15.6">
      <c r="A47" s="205" t="s">
        <v>51</v>
      </c>
      <c r="B47" s="18"/>
      <c r="C47" s="206"/>
      <c r="D47" s="206"/>
      <c r="E47" s="207"/>
    </row>
    <row r="48" spans="1:18">
      <c r="A48" s="114" t="s">
        <v>52</v>
      </c>
      <c r="C48" s="67">
        <v>11300</v>
      </c>
      <c r="D48" s="33">
        <f t="shared" ref="D48:D57" si="8">(C48/$H$8)</f>
        <v>565</v>
      </c>
      <c r="E48" s="208">
        <f t="shared" ref="E48:E57" si="9">(C48/$H$7)</f>
        <v>0.39626876139711037</v>
      </c>
    </row>
    <row r="49" spans="1:8">
      <c r="A49" s="114" t="s">
        <v>53</v>
      </c>
      <c r="C49" s="67">
        <v>7200</v>
      </c>
      <c r="D49" s="33">
        <f t="shared" si="8"/>
        <v>360</v>
      </c>
      <c r="E49" s="208">
        <f t="shared" si="9"/>
        <v>0.25248983027072519</v>
      </c>
    </row>
    <row r="50" spans="1:8">
      <c r="A50" s="114" t="s">
        <v>54</v>
      </c>
      <c r="C50" s="21"/>
      <c r="D50" s="33">
        <f t="shared" si="8"/>
        <v>0</v>
      </c>
      <c r="E50" s="208">
        <f t="shared" si="9"/>
        <v>0</v>
      </c>
    </row>
    <row r="51" spans="1:8">
      <c r="A51" s="114" t="s">
        <v>55</v>
      </c>
      <c r="C51" s="21"/>
      <c r="D51" s="33">
        <f t="shared" si="8"/>
        <v>0</v>
      </c>
      <c r="E51" s="208">
        <f t="shared" si="9"/>
        <v>0</v>
      </c>
    </row>
    <row r="52" spans="1:8">
      <c r="A52" s="114" t="s">
        <v>56</v>
      </c>
      <c r="C52" s="21"/>
      <c r="D52" s="33">
        <f t="shared" si="8"/>
        <v>0</v>
      </c>
      <c r="E52" s="208">
        <f t="shared" si="9"/>
        <v>0</v>
      </c>
    </row>
    <row r="53" spans="1:8">
      <c r="A53" s="114" t="s">
        <v>57</v>
      </c>
      <c r="C53" s="21"/>
      <c r="D53" s="33">
        <f t="shared" si="8"/>
        <v>0</v>
      </c>
      <c r="E53" s="208">
        <f t="shared" si="9"/>
        <v>0</v>
      </c>
    </row>
    <row r="54" spans="1:8">
      <c r="A54" s="114" t="s">
        <v>58</v>
      </c>
      <c r="C54" s="21">
        <v>1000</v>
      </c>
      <c r="D54" s="33">
        <f t="shared" si="8"/>
        <v>50</v>
      </c>
      <c r="E54" s="208">
        <f t="shared" si="9"/>
        <v>3.5068031982045167E-2</v>
      </c>
    </row>
    <row r="55" spans="1:8">
      <c r="A55" s="114" t="s">
        <v>59</v>
      </c>
      <c r="C55" s="21"/>
      <c r="D55" s="33">
        <f t="shared" si="8"/>
        <v>0</v>
      </c>
      <c r="E55" s="208">
        <f t="shared" si="9"/>
        <v>0</v>
      </c>
    </row>
    <row r="56" spans="1:8">
      <c r="A56" s="210" t="s">
        <v>41</v>
      </c>
      <c r="B56" s="13"/>
      <c r="C56" s="67"/>
      <c r="D56" s="33">
        <f t="shared" si="8"/>
        <v>0</v>
      </c>
      <c r="E56" s="208">
        <f t="shared" si="9"/>
        <v>0</v>
      </c>
    </row>
    <row r="57" spans="1:8" ht="15.6">
      <c r="A57" s="69" t="s">
        <v>21</v>
      </c>
      <c r="B57" s="1"/>
      <c r="C57" s="15">
        <f>SUM(C48:C56)</f>
        <v>19500</v>
      </c>
      <c r="D57" s="15">
        <f t="shared" si="8"/>
        <v>975</v>
      </c>
      <c r="E57" s="209">
        <f t="shared" si="9"/>
        <v>0.68382662364988078</v>
      </c>
    </row>
    <row r="58" spans="1:8" ht="15.6">
      <c r="A58" s="205" t="s">
        <v>60</v>
      </c>
      <c r="B58" s="18"/>
      <c r="C58" s="206"/>
      <c r="D58" s="206"/>
      <c r="E58" s="207"/>
      <c r="F58" s="6"/>
      <c r="G58" s="189"/>
    </row>
    <row r="59" spans="1:8">
      <c r="A59" s="114" t="s">
        <v>61</v>
      </c>
      <c r="C59" s="21">
        <v>84000</v>
      </c>
      <c r="D59" s="33">
        <f>(C59/$H$8)</f>
        <v>4200</v>
      </c>
      <c r="E59" s="208">
        <f>(C59/$H$7)</f>
        <v>2.9457146864917942</v>
      </c>
      <c r="F59" s="190"/>
    </row>
    <row r="60" spans="1:8">
      <c r="A60" s="114" t="s">
        <v>62</v>
      </c>
      <c r="C60" s="67">
        <v>60000</v>
      </c>
      <c r="D60" s="33">
        <f>(C60/$H$8)</f>
        <v>3000</v>
      </c>
      <c r="E60" s="208">
        <f>(C60/$H$7)</f>
        <v>2.1040819189227102</v>
      </c>
      <c r="F60" s="190"/>
    </row>
    <row r="61" spans="1:8">
      <c r="A61" s="114" t="s">
        <v>63</v>
      </c>
      <c r="C61" s="21"/>
      <c r="D61" s="33">
        <f>(C61/$H$8)</f>
        <v>0</v>
      </c>
      <c r="E61" s="208">
        <f>(C61/$H$7)</f>
        <v>0</v>
      </c>
      <c r="F61" s="190"/>
    </row>
    <row r="62" spans="1:8" ht="15.6">
      <c r="A62" s="69" t="s">
        <v>64</v>
      </c>
      <c r="B62" s="1"/>
      <c r="C62" s="15">
        <f>SUM(C59:C61)</f>
        <v>144000</v>
      </c>
      <c r="D62" s="15">
        <f>(C62/$H$8)</f>
        <v>7200</v>
      </c>
      <c r="E62" s="209">
        <f>(C62/$H$7)</f>
        <v>5.049796605414504</v>
      </c>
      <c r="F62" s="190">
        <f>+C62/(C70-C62-C69-C9)</f>
        <v>3.9082859684809436E-2</v>
      </c>
      <c r="G62" s="316" t="s">
        <v>65</v>
      </c>
      <c r="H62" s="316"/>
    </row>
    <row r="63" spans="1:8" ht="15.6">
      <c r="A63" s="205" t="s">
        <v>66</v>
      </c>
      <c r="B63" s="18"/>
      <c r="C63" s="206"/>
      <c r="D63" s="206"/>
      <c r="E63" s="207"/>
      <c r="G63" s="316"/>
      <c r="H63" s="316"/>
    </row>
    <row r="64" spans="1:8">
      <c r="A64" s="114" t="s">
        <v>67</v>
      </c>
      <c r="C64" s="67">
        <v>76000</v>
      </c>
      <c r="D64" s="33">
        <f t="shared" ref="D64:D70" si="10">(C64/$H$8)</f>
        <v>3800</v>
      </c>
      <c r="E64" s="208">
        <f t="shared" ref="E64:E70" si="11">(C64/$H$7)</f>
        <v>2.6651704306354329</v>
      </c>
      <c r="F64" s="191"/>
      <c r="G64" s="12"/>
    </row>
    <row r="65" spans="1:7">
      <c r="A65" s="114" t="s">
        <v>68</v>
      </c>
      <c r="C65" s="21"/>
      <c r="D65" s="33">
        <f t="shared" si="10"/>
        <v>0</v>
      </c>
      <c r="E65" s="208">
        <f t="shared" si="11"/>
        <v>0</v>
      </c>
      <c r="F65" s="191">
        <f>(C64+C65)/((-'Operating Pro Forma'!$F$36+'Operating Pro Forma'!$H$34)/12)</f>
        <v>4.5892044518885386</v>
      </c>
      <c r="G65" s="11" t="s">
        <v>69</v>
      </c>
    </row>
    <row r="66" spans="1:7" ht="15" customHeight="1">
      <c r="A66" s="114" t="s">
        <v>70</v>
      </c>
      <c r="C66" s="21"/>
      <c r="D66" s="33">
        <f t="shared" si="10"/>
        <v>0</v>
      </c>
      <c r="E66" s="208">
        <f t="shared" si="11"/>
        <v>0</v>
      </c>
    </row>
    <row r="67" spans="1:7">
      <c r="A67" s="114" t="s">
        <v>71</v>
      </c>
      <c r="C67" s="21"/>
      <c r="D67" s="33">
        <f t="shared" si="10"/>
        <v>0</v>
      </c>
      <c r="E67" s="208">
        <f t="shared" si="11"/>
        <v>0</v>
      </c>
    </row>
    <row r="68" spans="1:7">
      <c r="A68" s="210" t="s">
        <v>41</v>
      </c>
      <c r="B68" s="13"/>
      <c r="C68" s="21"/>
      <c r="D68" s="33">
        <f t="shared" si="10"/>
        <v>0</v>
      </c>
      <c r="E68" s="208">
        <f t="shared" si="11"/>
        <v>0</v>
      </c>
    </row>
    <row r="69" spans="1:7" ht="15.6" customHeight="1">
      <c r="A69" s="69" t="s">
        <v>21</v>
      </c>
      <c r="B69" s="1"/>
      <c r="C69" s="15">
        <f>SUM(C64:C68)</f>
        <v>76000</v>
      </c>
      <c r="D69" s="15">
        <f t="shared" si="10"/>
        <v>3800</v>
      </c>
      <c r="E69" s="209">
        <f t="shared" si="11"/>
        <v>2.6651704306354329</v>
      </c>
      <c r="F69" s="191"/>
    </row>
    <row r="70" spans="1:7" ht="16.149999999999999" thickBot="1">
      <c r="A70" s="212" t="s">
        <v>72</v>
      </c>
      <c r="B70" s="213"/>
      <c r="C70" s="214">
        <f>C57+C22+C62+C69+C46+C39+C31+C14+C9</f>
        <v>3974479.62</v>
      </c>
      <c r="D70" s="215">
        <f t="shared" si="10"/>
        <v>198723.981</v>
      </c>
      <c r="E70" s="216">
        <f t="shared" si="11"/>
        <v>139.37717842614674</v>
      </c>
    </row>
    <row r="71" spans="1:7" ht="15.6">
      <c r="A71" s="202" t="s">
        <v>73</v>
      </c>
      <c r="B71" s="202"/>
      <c r="C71" s="203">
        <f>C70-C69+C66</f>
        <v>3898479.62</v>
      </c>
      <c r="E71" s="195"/>
    </row>
    <row r="72" spans="1:7" ht="15.6" thickBot="1">
      <c r="C72" s="217"/>
      <c r="D72" s="33"/>
    </row>
    <row r="73" spans="1:7" ht="15.6">
      <c r="A73" s="68" t="s">
        <v>74</v>
      </c>
      <c r="B73" s="218"/>
      <c r="C73" s="219">
        <f>(C8+C14+C22)/H8</f>
        <v>170000</v>
      </c>
      <c r="D73" s="192">
        <f>C73/D70</f>
        <v>0.85545790268764799</v>
      </c>
      <c r="E73" s="33"/>
      <c r="F73" s="193"/>
    </row>
    <row r="74" spans="1:7" ht="15.6">
      <c r="A74" s="69" t="s">
        <v>75</v>
      </c>
      <c r="B74" s="1"/>
      <c r="C74" s="220">
        <f>+C7/H8</f>
        <v>3500</v>
      </c>
      <c r="D74" s="192">
        <f>C74/D70</f>
        <v>1.7612368584745693E-2</v>
      </c>
      <c r="E74" s="33"/>
      <c r="F74" s="193"/>
    </row>
    <row r="75" spans="1:7" ht="15.6">
      <c r="A75" s="69" t="s">
        <v>76</v>
      </c>
      <c r="B75" s="1"/>
      <c r="C75" s="220">
        <f>(C31+C39+C46+C57+C62+C69)/H8</f>
        <v>25223.981</v>
      </c>
      <c r="D75" s="192">
        <f>C75/D70</f>
        <v>0.12692972872760636</v>
      </c>
      <c r="E75" s="33"/>
      <c r="F75" s="193"/>
    </row>
    <row r="76" spans="1:7" ht="15.6">
      <c r="A76" s="69" t="s">
        <v>77</v>
      </c>
      <c r="B76" s="1"/>
      <c r="C76" s="220">
        <f>(C8+C14+C22)/H7</f>
        <v>119.23130873895357</v>
      </c>
      <c r="D76" s="194"/>
      <c r="E76" s="195"/>
      <c r="F76" s="47"/>
    </row>
    <row r="77" spans="1:7" ht="16.149999999999999" thickBot="1">
      <c r="A77" s="70" t="s">
        <v>78</v>
      </c>
      <c r="B77" s="221"/>
      <c r="C77" s="222">
        <f>(C31+C39+C46+C57+C62+C69)/H7</f>
        <v>17.691107448449994</v>
      </c>
      <c r="D77" s="195"/>
      <c r="E77" s="195"/>
    </row>
    <row r="78" spans="1:7" ht="21" customHeight="1">
      <c r="A78" s="5"/>
    </row>
    <row r="79" spans="1:7">
      <c r="A79" s="11" t="s">
        <v>79</v>
      </c>
      <c r="C79" s="195"/>
      <c r="D79" s="196"/>
    </row>
    <row r="80" spans="1:7">
      <c r="C80" s="196"/>
    </row>
    <row r="85" ht="23.65" hidden="1" customHeight="1" thickTop="1"/>
  </sheetData>
  <mergeCells count="3">
    <mergeCell ref="G62:H63"/>
    <mergeCell ref="J2:R17"/>
    <mergeCell ref="J1:R1"/>
  </mergeCells>
  <phoneticPr fontId="3" type="noConversion"/>
  <pageMargins left="0.75" right="0.75" top="0.75" bottom="0.8" header="0.5" footer="0.5"/>
  <pageSetup scale="54"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A72"/>
  <sheetViews>
    <sheetView workbookViewId="0"/>
  </sheetViews>
  <sheetFormatPr defaultColWidth="8" defaultRowHeight="15"/>
  <cols>
    <col min="1" max="1" width="20.21875" style="23" customWidth="1"/>
    <col min="2" max="4" width="11.77734375" style="23" customWidth="1"/>
    <col min="5" max="5" width="11.5546875" style="23" customWidth="1"/>
    <col min="6" max="6" width="15.5546875" style="23" customWidth="1"/>
    <col min="7" max="7" width="27.109375" style="23" customWidth="1"/>
    <col min="8" max="8" width="13" style="23" customWidth="1"/>
    <col min="9" max="9" width="8.77734375" style="23" customWidth="1"/>
    <col min="10" max="10" width="7.109375" style="23" customWidth="1"/>
    <col min="11" max="11" width="2.5546875" style="23" customWidth="1"/>
    <col min="12" max="12" width="59" style="23" customWidth="1"/>
    <col min="13" max="13" width="9.21875" style="23" customWidth="1"/>
    <col min="14" max="14" width="4.5546875" style="23" customWidth="1"/>
    <col min="15" max="15" width="10.77734375" style="23" customWidth="1"/>
    <col min="16" max="16" width="9.21875" style="23" customWidth="1"/>
    <col min="17" max="17" width="11.5546875" style="23" customWidth="1"/>
    <col min="18" max="18" width="10" style="23" customWidth="1"/>
    <col min="19" max="19" width="9.21875" style="23" customWidth="1"/>
    <col min="20" max="20" width="11.5546875" style="23" customWidth="1"/>
    <col min="21" max="22" width="9.21875" style="23" customWidth="1"/>
    <col min="23" max="23" width="11.5546875" style="23" customWidth="1"/>
    <col min="24" max="24" width="10.77734375" style="23" customWidth="1"/>
    <col min="25" max="25" width="16.21875" style="23" customWidth="1"/>
    <col min="26" max="26" width="17" style="23" customWidth="1"/>
    <col min="27" max="27" width="12.21875" style="23" customWidth="1"/>
    <col min="28" max="28" width="11.5546875" style="23" customWidth="1"/>
    <col min="29" max="29" width="9.21875" style="23" customWidth="1"/>
    <col min="30" max="30" width="11.5546875" style="23" customWidth="1"/>
    <col min="31" max="31" width="10.77734375" style="23" customWidth="1"/>
    <col min="32" max="33" width="11.5546875" style="23" customWidth="1"/>
    <col min="34" max="37" width="8" style="23" customWidth="1"/>
    <col min="38" max="38" width="18.5546875" style="23" customWidth="1"/>
    <col min="39" max="39" width="8" style="23" customWidth="1"/>
    <col min="40" max="40" width="10" style="23" customWidth="1"/>
    <col min="41" max="41" width="11.5546875" style="23" customWidth="1"/>
    <col min="42" max="42" width="10" style="23" customWidth="1"/>
    <col min="43" max="43" width="12.21875" style="23" customWidth="1"/>
    <col min="44" max="45" width="10" style="23" customWidth="1"/>
    <col min="46" max="46" width="11.5546875" style="23" customWidth="1"/>
    <col min="47" max="49" width="10" style="23" customWidth="1"/>
    <col min="50" max="50" width="11.5546875" style="23" customWidth="1"/>
    <col min="51" max="52" width="10" style="23" customWidth="1"/>
    <col min="53" max="53" width="12.21875" style="23" customWidth="1"/>
    <col min="54" max="54" width="10" style="23" customWidth="1"/>
    <col min="55" max="55" width="10.77734375" style="23" customWidth="1"/>
    <col min="56" max="56" width="10" style="23" customWidth="1"/>
    <col min="57" max="57" width="7.77734375" style="23" customWidth="1"/>
    <col min="58" max="60" width="10" style="23" customWidth="1"/>
    <col min="61" max="63" width="8" style="23" customWidth="1"/>
    <col min="64" max="64" width="9.21875" style="23" customWidth="1"/>
    <col min="65" max="205" width="8" style="23" customWidth="1"/>
    <col min="206" max="207" width="1.44140625" style="23" customWidth="1"/>
    <col min="208" max="16384" width="8" style="23"/>
  </cols>
  <sheetData>
    <row r="1" spans="1:17" ht="15.6">
      <c r="A1" s="4" t="s">
        <v>4</v>
      </c>
      <c r="B1" s="60" t="str">
        <f>'Development Costs'!B1</f>
        <v>Sample</v>
      </c>
      <c r="C1" s="4"/>
      <c r="L1" s="326" t="s">
        <v>6</v>
      </c>
      <c r="M1" s="327"/>
      <c r="N1" s="327"/>
      <c r="O1" s="327"/>
      <c r="P1" s="327"/>
      <c r="Q1" s="328"/>
    </row>
    <row r="2" spans="1:17" ht="15.75" customHeight="1">
      <c r="A2" s="4" t="s">
        <v>7</v>
      </c>
      <c r="B2" s="59">
        <f>'Development Costs'!B2</f>
        <v>44835</v>
      </c>
      <c r="E2" s="329"/>
      <c r="F2" s="329"/>
      <c r="G2" s="329"/>
      <c r="J2" s="26"/>
      <c r="L2" s="334" t="s">
        <v>80</v>
      </c>
      <c r="M2" s="335"/>
      <c r="N2" s="335"/>
      <c r="O2" s="335"/>
      <c r="P2" s="335"/>
      <c r="Q2" s="336"/>
    </row>
    <row r="3" spans="1:17" ht="15.6">
      <c r="E3" s="46"/>
      <c r="F3" s="48"/>
      <c r="G3" s="51"/>
      <c r="L3" s="334"/>
      <c r="M3" s="335"/>
      <c r="N3" s="335"/>
      <c r="O3" s="335"/>
      <c r="P3" s="335"/>
      <c r="Q3" s="336"/>
    </row>
    <row r="4" spans="1:17" ht="25.15" thickBot="1">
      <c r="A4" s="57" t="s">
        <v>81</v>
      </c>
      <c r="C4" s="4"/>
      <c r="E4" s="58"/>
      <c r="F4" s="58"/>
      <c r="L4" s="334"/>
      <c r="M4" s="335"/>
      <c r="N4" s="335"/>
      <c r="O4" s="335"/>
      <c r="P4" s="335"/>
      <c r="Q4" s="336"/>
    </row>
    <row r="5" spans="1:17" ht="15.6">
      <c r="A5" s="93" t="s">
        <v>82</v>
      </c>
      <c r="B5" s="94"/>
      <c r="C5" s="94"/>
      <c r="D5" s="94"/>
      <c r="E5" s="94"/>
      <c r="F5" s="94"/>
      <c r="G5" s="95" t="s">
        <v>83</v>
      </c>
      <c r="H5" s="96"/>
      <c r="L5" s="334"/>
      <c r="M5" s="335"/>
      <c r="N5" s="335"/>
      <c r="O5" s="335"/>
      <c r="P5" s="335"/>
      <c r="Q5" s="336"/>
    </row>
    <row r="6" spans="1:17" ht="40.9" customHeight="1">
      <c r="A6" s="97" t="s">
        <v>84</v>
      </c>
      <c r="B6" s="78" t="s">
        <v>85</v>
      </c>
      <c r="C6" s="78" t="s">
        <v>86</v>
      </c>
      <c r="D6" s="78" t="s">
        <v>87</v>
      </c>
      <c r="E6" s="78" t="s">
        <v>88</v>
      </c>
      <c r="F6" s="79" t="s">
        <v>89</v>
      </c>
      <c r="G6" s="83" t="s">
        <v>90</v>
      </c>
      <c r="H6" s="98"/>
      <c r="L6" s="334"/>
      <c r="M6" s="335"/>
      <c r="N6" s="335"/>
      <c r="O6" s="335"/>
      <c r="P6" s="335"/>
      <c r="Q6" s="336"/>
    </row>
    <row r="7" spans="1:17">
      <c r="A7" s="99">
        <v>1</v>
      </c>
      <c r="B7" s="81"/>
      <c r="C7" s="82"/>
      <c r="D7" s="20"/>
      <c r="E7" s="21"/>
      <c r="F7" s="72"/>
      <c r="G7" s="60" t="s">
        <v>91</v>
      </c>
      <c r="H7" s="100">
        <v>7500</v>
      </c>
      <c r="I7" s="84">
        <f>(H7/F23)</f>
        <v>3.1706574675324672E-2</v>
      </c>
      <c r="L7" s="334"/>
      <c r="M7" s="335"/>
      <c r="N7" s="335"/>
      <c r="O7" s="335"/>
      <c r="P7" s="335"/>
      <c r="Q7" s="336"/>
    </row>
    <row r="8" spans="1:17">
      <c r="A8" s="99">
        <v>2</v>
      </c>
      <c r="B8" s="81"/>
      <c r="C8" s="82">
        <v>4</v>
      </c>
      <c r="D8" s="20">
        <v>1104</v>
      </c>
      <c r="E8" s="21">
        <v>900</v>
      </c>
      <c r="F8" s="33">
        <f t="shared" ref="F8:F15" si="0">((C8*E8)*12)</f>
        <v>43200</v>
      </c>
      <c r="G8" s="60" t="s">
        <v>92</v>
      </c>
      <c r="H8" s="100">
        <v>30000</v>
      </c>
      <c r="I8" s="85"/>
      <c r="J8" s="23" t="s">
        <v>93</v>
      </c>
      <c r="L8" s="334"/>
      <c r="M8" s="335"/>
      <c r="N8" s="335"/>
      <c r="O8" s="335"/>
      <c r="P8" s="335"/>
      <c r="Q8" s="336"/>
    </row>
    <row r="9" spans="1:17">
      <c r="A9" s="99">
        <v>3</v>
      </c>
      <c r="B9" s="81"/>
      <c r="C9" s="82">
        <v>12</v>
      </c>
      <c r="D9" s="20">
        <v>1457</v>
      </c>
      <c r="E9" s="21">
        <v>976</v>
      </c>
      <c r="F9" s="72">
        <f t="shared" si="0"/>
        <v>140544</v>
      </c>
      <c r="G9" s="60" t="s">
        <v>94</v>
      </c>
      <c r="H9" s="100"/>
      <c r="I9" s="86"/>
      <c r="L9" s="334"/>
      <c r="M9" s="335"/>
      <c r="N9" s="335"/>
      <c r="O9" s="335"/>
      <c r="P9" s="335"/>
      <c r="Q9" s="336"/>
    </row>
    <row r="10" spans="1:17">
      <c r="A10" s="101">
        <v>4</v>
      </c>
      <c r="B10" s="81"/>
      <c r="C10" s="82">
        <v>4</v>
      </c>
      <c r="D10" s="20">
        <v>1654</v>
      </c>
      <c r="E10" s="21">
        <v>1100</v>
      </c>
      <c r="F10" s="72">
        <f t="shared" si="0"/>
        <v>52800</v>
      </c>
      <c r="G10" s="60" t="s">
        <v>95</v>
      </c>
      <c r="H10" s="100"/>
      <c r="I10" s="86"/>
      <c r="L10" s="334"/>
      <c r="M10" s="335"/>
      <c r="N10" s="335"/>
      <c r="O10" s="335"/>
      <c r="P10" s="335"/>
      <c r="Q10" s="336"/>
    </row>
    <row r="11" spans="1:17">
      <c r="A11" s="101"/>
      <c r="B11" s="81"/>
      <c r="C11" s="82"/>
      <c r="D11" s="20"/>
      <c r="E11" s="21"/>
      <c r="F11" s="72">
        <f t="shared" si="0"/>
        <v>0</v>
      </c>
      <c r="G11" s="60" t="s">
        <v>96</v>
      </c>
      <c r="H11" s="100"/>
      <c r="I11" s="86"/>
      <c r="L11" s="334"/>
      <c r="M11" s="335"/>
      <c r="N11" s="335"/>
      <c r="O11" s="335"/>
      <c r="P11" s="335"/>
      <c r="Q11" s="336"/>
    </row>
    <row r="12" spans="1:17">
      <c r="A12" s="101"/>
      <c r="B12" s="81"/>
      <c r="C12" s="82"/>
      <c r="D12" s="20"/>
      <c r="E12" s="21"/>
      <c r="F12" s="72">
        <f t="shared" si="0"/>
        <v>0</v>
      </c>
      <c r="G12" s="60" t="s">
        <v>97</v>
      </c>
      <c r="H12" s="100"/>
      <c r="I12" s="86"/>
      <c r="L12" s="334"/>
      <c r="M12" s="335"/>
      <c r="N12" s="335"/>
      <c r="O12" s="335"/>
      <c r="P12" s="335"/>
      <c r="Q12" s="336"/>
    </row>
    <row r="13" spans="1:17">
      <c r="A13" s="101"/>
      <c r="B13" s="81"/>
      <c r="C13" s="82"/>
      <c r="D13" s="20"/>
      <c r="E13" s="21"/>
      <c r="F13" s="72">
        <f>((C13*E13)*12)</f>
        <v>0</v>
      </c>
      <c r="G13" s="60" t="s">
        <v>98</v>
      </c>
      <c r="H13" s="100"/>
      <c r="I13" s="86"/>
      <c r="L13" s="334"/>
      <c r="M13" s="335"/>
      <c r="N13" s="335"/>
      <c r="O13" s="335"/>
      <c r="P13" s="335"/>
      <c r="Q13" s="336"/>
    </row>
    <row r="14" spans="1:17">
      <c r="A14" s="101"/>
      <c r="B14" s="81"/>
      <c r="C14" s="82"/>
      <c r="D14" s="20"/>
      <c r="E14" s="21"/>
      <c r="F14" s="72">
        <f t="shared" si="0"/>
        <v>0</v>
      </c>
      <c r="G14" s="80" t="s">
        <v>41</v>
      </c>
      <c r="H14" s="100"/>
      <c r="I14" s="86"/>
      <c r="L14" s="334"/>
      <c r="M14" s="335"/>
      <c r="N14" s="335"/>
      <c r="O14" s="335"/>
      <c r="P14" s="335"/>
      <c r="Q14" s="336"/>
    </row>
    <row r="15" spans="1:17" ht="15.6">
      <c r="A15" s="101"/>
      <c r="B15" s="81"/>
      <c r="C15" s="82"/>
      <c r="D15" s="20"/>
      <c r="E15" s="21"/>
      <c r="F15" s="72">
        <f t="shared" si="0"/>
        <v>0</v>
      </c>
      <c r="G15" s="76" t="s">
        <v>99</v>
      </c>
      <c r="H15" s="102">
        <f>SUM(H7:H14)</f>
        <v>37500</v>
      </c>
      <c r="I15" s="86">
        <f>H15/F23</f>
        <v>0.15853287337662339</v>
      </c>
      <c r="L15" s="334"/>
      <c r="M15" s="335"/>
      <c r="N15" s="335"/>
      <c r="O15" s="335"/>
      <c r="P15" s="335"/>
      <c r="Q15" s="336"/>
    </row>
    <row r="16" spans="1:17" ht="15.6">
      <c r="A16" s="101"/>
      <c r="B16" s="81"/>
      <c r="C16" s="82"/>
      <c r="D16" s="20"/>
      <c r="E16" s="21"/>
      <c r="F16" s="72">
        <f t="shared" ref="F16:F22" si="1">((C16*E16)*12)</f>
        <v>0</v>
      </c>
      <c r="G16" s="83" t="s">
        <v>100</v>
      </c>
      <c r="H16" s="98"/>
      <c r="L16" s="334"/>
      <c r="M16" s="335"/>
      <c r="N16" s="335"/>
      <c r="O16" s="335"/>
      <c r="P16" s="335"/>
      <c r="Q16" s="336"/>
    </row>
    <row r="17" spans="1:17">
      <c r="A17" s="101"/>
      <c r="B17" s="81"/>
      <c r="C17" s="82"/>
      <c r="D17" s="20"/>
      <c r="E17" s="21"/>
      <c r="F17" s="72">
        <f t="shared" si="1"/>
        <v>0</v>
      </c>
      <c r="G17" s="60" t="s">
        <v>101</v>
      </c>
      <c r="H17" s="100"/>
      <c r="I17" s="23" t="s">
        <v>102</v>
      </c>
      <c r="J17" s="23">
        <f>H17/C23/12</f>
        <v>0</v>
      </c>
      <c r="L17" s="334"/>
      <c r="M17" s="335"/>
      <c r="N17" s="335"/>
      <c r="O17" s="335"/>
      <c r="P17" s="335"/>
      <c r="Q17" s="336"/>
    </row>
    <row r="18" spans="1:17">
      <c r="A18" s="101"/>
      <c r="B18" s="81"/>
      <c r="C18" s="82"/>
      <c r="D18" s="20"/>
      <c r="E18" s="21"/>
      <c r="F18" s="72">
        <f t="shared" si="1"/>
        <v>0</v>
      </c>
      <c r="G18" s="60" t="s">
        <v>103</v>
      </c>
      <c r="H18" s="100"/>
      <c r="L18" s="334"/>
      <c r="M18" s="335"/>
      <c r="N18" s="335"/>
      <c r="O18" s="335"/>
      <c r="P18" s="335"/>
      <c r="Q18" s="336"/>
    </row>
    <row r="19" spans="1:17">
      <c r="A19" s="101"/>
      <c r="B19" s="81"/>
      <c r="C19" s="82"/>
      <c r="D19" s="20"/>
      <c r="E19" s="21"/>
      <c r="F19" s="72">
        <f t="shared" si="1"/>
        <v>0</v>
      </c>
      <c r="G19" s="80" t="s">
        <v>41</v>
      </c>
      <c r="H19" s="100"/>
      <c r="L19" s="334"/>
      <c r="M19" s="335"/>
      <c r="N19" s="335"/>
      <c r="O19" s="335"/>
      <c r="P19" s="335"/>
      <c r="Q19" s="336"/>
    </row>
    <row r="20" spans="1:17" ht="15.6">
      <c r="A20" s="101"/>
      <c r="B20" s="81"/>
      <c r="C20" s="82"/>
      <c r="D20" s="20"/>
      <c r="E20" s="21"/>
      <c r="F20" s="72">
        <f t="shared" si="1"/>
        <v>0</v>
      </c>
      <c r="G20" s="76" t="s">
        <v>104</v>
      </c>
      <c r="H20" s="102">
        <f>SUM(H17:H19)</f>
        <v>0</v>
      </c>
      <c r="L20" s="334"/>
      <c r="M20" s="335"/>
      <c r="N20" s="335"/>
      <c r="O20" s="335"/>
      <c r="P20" s="335"/>
      <c r="Q20" s="336"/>
    </row>
    <row r="21" spans="1:17" ht="15.6">
      <c r="A21" s="101"/>
      <c r="B21" s="81"/>
      <c r="C21" s="82"/>
      <c r="D21" s="20"/>
      <c r="E21" s="21"/>
      <c r="F21" s="72">
        <f t="shared" si="1"/>
        <v>0</v>
      </c>
      <c r="G21" s="83" t="s">
        <v>105</v>
      </c>
      <c r="H21" s="98"/>
      <c r="L21" s="334"/>
      <c r="M21" s="335"/>
      <c r="N21" s="335"/>
      <c r="O21" s="335"/>
      <c r="P21" s="335"/>
      <c r="Q21" s="336"/>
    </row>
    <row r="22" spans="1:17">
      <c r="A22" s="101"/>
      <c r="B22" s="81"/>
      <c r="C22" s="82"/>
      <c r="D22" s="20"/>
      <c r="E22" s="21"/>
      <c r="F22" s="72">
        <f t="shared" si="1"/>
        <v>0</v>
      </c>
      <c r="G22" s="60" t="s">
        <v>106</v>
      </c>
      <c r="H22" s="100"/>
      <c r="L22" s="334"/>
      <c r="M22" s="335"/>
      <c r="N22" s="335"/>
      <c r="O22" s="335"/>
      <c r="P22" s="335"/>
      <c r="Q22" s="336"/>
    </row>
    <row r="23" spans="1:17" ht="15.75" customHeight="1" thickBot="1">
      <c r="A23" s="103"/>
      <c r="B23" s="60" t="s">
        <v>107</v>
      </c>
      <c r="C23" s="71">
        <v>20</v>
      </c>
      <c r="D23" s="60"/>
      <c r="E23" s="60" t="s">
        <v>108</v>
      </c>
      <c r="F23" s="72">
        <f>SUM(F7:F22)</f>
        <v>236544</v>
      </c>
      <c r="G23" s="60" t="s">
        <v>109</v>
      </c>
      <c r="H23" s="100"/>
      <c r="L23" s="337"/>
      <c r="M23" s="338"/>
      <c r="N23" s="338"/>
      <c r="O23" s="338"/>
      <c r="P23" s="338"/>
      <c r="Q23" s="339"/>
    </row>
    <row r="24" spans="1:17">
      <c r="A24" s="103"/>
      <c r="B24" s="60" t="s">
        <v>110</v>
      </c>
      <c r="C24" s="73">
        <f>+C7*D7+C8*D8+C9*D9+C10*D10+C11*D11+C12*D12+C13*D13+C14*D14+C15*D15+C16*D16+C17*D17+C18*D18+C19*D19+C20*D20+C21*D21+C22*D22</f>
        <v>28516</v>
      </c>
      <c r="F24" s="72"/>
      <c r="G24" s="60" t="s">
        <v>111</v>
      </c>
      <c r="H24" s="100"/>
    </row>
    <row r="25" spans="1:17">
      <c r="A25" s="103"/>
      <c r="E25" s="60" t="s">
        <v>112</v>
      </c>
      <c r="F25" s="21"/>
      <c r="G25" s="60" t="s">
        <v>113</v>
      </c>
      <c r="H25" s="100"/>
    </row>
    <row r="26" spans="1:17">
      <c r="A26" s="103"/>
      <c r="C26" s="72"/>
      <c r="E26" s="60" t="s">
        <v>114</v>
      </c>
      <c r="F26" s="21"/>
      <c r="G26" s="80" t="s">
        <v>115</v>
      </c>
      <c r="H26" s="100"/>
    </row>
    <row r="27" spans="1:17" ht="15.6">
      <c r="A27" s="103"/>
      <c r="C27" s="74"/>
      <c r="D27" s="74"/>
      <c r="E27" s="75" t="s">
        <v>116</v>
      </c>
      <c r="F27" s="21"/>
      <c r="G27" s="76" t="s">
        <v>117</v>
      </c>
      <c r="H27" s="102">
        <f>SUM(H22:H26)</f>
        <v>0</v>
      </c>
      <c r="I27" s="72"/>
    </row>
    <row r="28" spans="1:17" ht="15.6">
      <c r="A28" s="103"/>
      <c r="E28" s="60" t="s">
        <v>118</v>
      </c>
      <c r="F28" s="72">
        <f>F23+F25+F26+F27</f>
        <v>236544</v>
      </c>
      <c r="G28" s="83" t="s">
        <v>119</v>
      </c>
      <c r="H28" s="98"/>
    </row>
    <row r="29" spans="1:17">
      <c r="A29" s="103"/>
      <c r="B29" s="23" t="s">
        <v>120</v>
      </c>
      <c r="C29" s="197">
        <v>7.0000000000000007E-2</v>
      </c>
      <c r="E29" s="60" t="s">
        <v>121</v>
      </c>
      <c r="F29" s="72">
        <f>-(C29*F28)</f>
        <v>-16558.080000000002</v>
      </c>
      <c r="G29" s="60" t="s">
        <v>122</v>
      </c>
      <c r="H29" s="100">
        <v>12000</v>
      </c>
    </row>
    <row r="30" spans="1:17" ht="15.6">
      <c r="A30" s="103"/>
      <c r="D30" s="4"/>
      <c r="E30" s="76" t="s">
        <v>123</v>
      </c>
      <c r="F30" s="72">
        <f>(F28+F29)</f>
        <v>219985.91999999998</v>
      </c>
      <c r="G30" s="60" t="s">
        <v>124</v>
      </c>
      <c r="H30" s="100">
        <v>4000</v>
      </c>
    </row>
    <row r="31" spans="1:17">
      <c r="A31" s="103"/>
      <c r="F31" s="72"/>
      <c r="G31" s="60" t="s">
        <v>71</v>
      </c>
      <c r="H31" s="100">
        <v>6000</v>
      </c>
      <c r="I31" s="23" t="s">
        <v>125</v>
      </c>
      <c r="J31" s="23">
        <f>H31/C23</f>
        <v>300</v>
      </c>
    </row>
    <row r="32" spans="1:17" ht="15.6">
      <c r="A32" s="103"/>
      <c r="C32" s="4"/>
      <c r="D32" s="4" t="s">
        <v>126</v>
      </c>
      <c r="F32" s="72"/>
      <c r="G32" s="75" t="s">
        <v>41</v>
      </c>
      <c r="H32" s="100"/>
    </row>
    <row r="33" spans="1:9" ht="18" customHeight="1">
      <c r="A33" s="103"/>
      <c r="E33" s="60" t="s">
        <v>127</v>
      </c>
      <c r="F33" s="77">
        <f>'Permanent Financing Sources'!D13</f>
        <v>-95744.702804389104</v>
      </c>
      <c r="G33" s="76" t="s">
        <v>128</v>
      </c>
      <c r="H33" s="102">
        <f>SUM(H29:H32)</f>
        <v>22000</v>
      </c>
    </row>
    <row r="34" spans="1:9" ht="15.6">
      <c r="A34" s="103"/>
      <c r="E34" s="60" t="s">
        <v>129</v>
      </c>
      <c r="F34" s="77">
        <f>'Permanent Financing Sources'!D21</f>
        <v>-43482.551463983269</v>
      </c>
      <c r="G34" s="88" t="s">
        <v>130</v>
      </c>
      <c r="H34" s="104">
        <f>H15+H20+H27+H33</f>
        <v>59500</v>
      </c>
    </row>
    <row r="35" spans="1:9" ht="16.149999999999999" thickBot="1">
      <c r="A35" s="105"/>
      <c r="B35" s="106"/>
      <c r="C35" s="106"/>
      <c r="D35" s="106"/>
      <c r="E35" s="107" t="s">
        <v>131</v>
      </c>
      <c r="F35" s="108">
        <f>'Permanent Financing Sources'!D29</f>
        <v>0</v>
      </c>
      <c r="G35" s="109" t="s">
        <v>132</v>
      </c>
      <c r="H35" s="110">
        <f>(F30-H34)</f>
        <v>160485.91999999998</v>
      </c>
      <c r="I35" s="72"/>
    </row>
    <row r="36" spans="1:9" ht="15.6">
      <c r="A36" s="223"/>
      <c r="B36" s="224"/>
      <c r="C36" s="224"/>
      <c r="D36" s="224"/>
      <c r="E36" s="225" t="s">
        <v>133</v>
      </c>
      <c r="F36" s="226">
        <f>F33+F34+F35</f>
        <v>-139227.25426837237</v>
      </c>
      <c r="G36" s="227" t="s">
        <v>134</v>
      </c>
      <c r="H36" s="228">
        <f>H34/C23</f>
        <v>2975</v>
      </c>
    </row>
    <row r="37" spans="1:9">
      <c r="A37" s="103"/>
      <c r="B37" s="23" t="s">
        <v>135</v>
      </c>
      <c r="C37" s="89">
        <f>(H34+(-F36))/F23</f>
        <v>0.84012807033098436</v>
      </c>
      <c r="E37" s="60" t="s">
        <v>136</v>
      </c>
      <c r="F37" s="90">
        <f>H35/1.15</f>
        <v>139552.97391304348</v>
      </c>
      <c r="G37" s="23" t="s">
        <v>137</v>
      </c>
      <c r="H37" s="137"/>
    </row>
    <row r="38" spans="1:9" ht="15.6">
      <c r="A38" s="103" t="s">
        <v>138</v>
      </c>
      <c r="C38" s="87"/>
      <c r="D38" s="87"/>
      <c r="E38" s="91" t="s">
        <v>139</v>
      </c>
      <c r="F38" s="92">
        <f>H35/-(F36)</f>
        <v>1.1526904042124519</v>
      </c>
      <c r="G38" s="4" t="s">
        <v>140</v>
      </c>
      <c r="H38" s="229"/>
    </row>
    <row r="39" spans="1:9" ht="16.149999999999999" customHeight="1">
      <c r="A39" s="103" t="s">
        <v>141</v>
      </c>
      <c r="G39" s="17" t="s">
        <v>142</v>
      </c>
      <c r="H39" s="230"/>
    </row>
    <row r="40" spans="1:9">
      <c r="A40" s="103"/>
      <c r="G40" s="330"/>
      <c r="H40" s="331"/>
    </row>
    <row r="41" spans="1:9" ht="15.6" thickBot="1">
      <c r="A41" s="105"/>
      <c r="B41" s="106"/>
      <c r="C41" s="106"/>
      <c r="D41" s="106"/>
      <c r="E41" s="106"/>
      <c r="F41" s="106"/>
      <c r="G41" s="332"/>
      <c r="H41" s="333"/>
    </row>
    <row r="42" spans="1:9" ht="15" customHeight="1">
      <c r="I42" s="23" t="s">
        <v>143</v>
      </c>
    </row>
    <row r="61" spans="25:27">
      <c r="Z61" s="49"/>
      <c r="AA61" s="49"/>
    </row>
    <row r="62" spans="25:27">
      <c r="Z62" s="49"/>
      <c r="AA62" s="49"/>
    </row>
    <row r="63" spans="25:27">
      <c r="Z63" s="49"/>
      <c r="AA63" s="49"/>
    </row>
    <row r="64" spans="25:27">
      <c r="Y64" s="48"/>
      <c r="Z64" s="49"/>
      <c r="AA64" s="49"/>
    </row>
    <row r="65" spans="11:27">
      <c r="Y65" s="48"/>
      <c r="Z65" s="49"/>
      <c r="AA65" s="49"/>
    </row>
    <row r="66" spans="11:27">
      <c r="Y66" s="48"/>
      <c r="Z66" s="49"/>
      <c r="AA66" s="49"/>
    </row>
    <row r="67" spans="11:27">
      <c r="K67" s="50"/>
      <c r="Y67" s="48"/>
      <c r="Z67" s="49"/>
      <c r="AA67" s="49"/>
    </row>
    <row r="68" spans="11:27">
      <c r="Y68" s="48"/>
      <c r="Z68" s="49"/>
      <c r="AA68" s="49"/>
    </row>
    <row r="69" spans="11:27">
      <c r="Y69" s="48"/>
      <c r="Z69" s="49"/>
      <c r="AA69" s="49"/>
    </row>
    <row r="70" spans="11:27">
      <c r="Y70" s="48"/>
      <c r="Z70" s="49"/>
      <c r="AA70" s="49"/>
    </row>
    <row r="71" spans="11:27">
      <c r="Y71" s="48"/>
    </row>
    <row r="72" spans="11:27">
      <c r="Y72" s="48"/>
    </row>
  </sheetData>
  <mergeCells count="4">
    <mergeCell ref="L1:Q1"/>
    <mergeCell ref="E2:G2"/>
    <mergeCell ref="G40:H41"/>
    <mergeCell ref="L2:Q23"/>
  </mergeCells>
  <phoneticPr fontId="3" type="noConversion"/>
  <pageMargins left="0.75" right="0.75" top="0.75" bottom="0.8" header="0.5" footer="0.5"/>
  <pageSetup scale="71"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U73"/>
  <sheetViews>
    <sheetView tabSelected="1" zoomScale="60" zoomScaleNormal="60" workbookViewId="0">
      <selection activeCell="I15" sqref="I15"/>
    </sheetView>
  </sheetViews>
  <sheetFormatPr defaultColWidth="7.109375" defaultRowHeight="15"/>
  <cols>
    <col min="1" max="1" width="2.77734375" style="11" customWidth="1"/>
    <col min="2" max="2" width="21.109375" style="11" customWidth="1"/>
    <col min="3" max="3" width="26" style="11" customWidth="1"/>
    <col min="4" max="4" width="13.77734375" style="11" customWidth="1"/>
    <col min="5" max="5" width="7.5546875" style="11" customWidth="1"/>
    <col min="6" max="6" width="7.77734375" style="11" customWidth="1"/>
    <col min="7" max="7" width="3.77734375" style="11" customWidth="1"/>
    <col min="8" max="8" width="20.77734375" style="11" customWidth="1"/>
    <col min="9" max="10" width="10.77734375" style="11" customWidth="1"/>
    <col min="11" max="11" width="3" customWidth="1"/>
    <col min="12" max="19" width="12.77734375" style="11" customWidth="1"/>
    <col min="20" max="16384" width="7.109375" style="11"/>
  </cols>
  <sheetData>
    <row r="1" spans="1:21" ht="16.149999999999999" thickBot="1">
      <c r="B1" s="4" t="s">
        <v>4</v>
      </c>
      <c r="C1" s="60" t="str">
        <f>'Development Costs'!B1</f>
        <v>Sample</v>
      </c>
      <c r="L1" s="326" t="s">
        <v>6</v>
      </c>
      <c r="M1" s="327"/>
      <c r="N1" s="327"/>
      <c r="O1" s="327"/>
      <c r="P1" s="327"/>
      <c r="Q1" s="327"/>
      <c r="R1" s="327"/>
      <c r="S1" s="328"/>
    </row>
    <row r="2" spans="1:21" ht="15.75" customHeight="1">
      <c r="B2" s="4" t="s">
        <v>7</v>
      </c>
      <c r="C2" s="61">
        <f>'Development Costs'!B2</f>
        <v>44835</v>
      </c>
      <c r="D2" s="347"/>
      <c r="E2" s="347"/>
      <c r="F2" s="347"/>
      <c r="J2" s="25"/>
      <c r="L2" s="340" t="s">
        <v>144</v>
      </c>
      <c r="M2" s="341"/>
      <c r="N2" s="341"/>
      <c r="O2" s="341"/>
      <c r="P2" s="341"/>
      <c r="Q2" s="341"/>
      <c r="R2" s="341"/>
      <c r="S2" s="342"/>
    </row>
    <row r="3" spans="1:21" ht="15.6">
      <c r="C3" s="4"/>
      <c r="D3" s="47"/>
      <c r="E3" s="47"/>
      <c r="F3" s="47"/>
      <c r="G3" s="1"/>
      <c r="J3" s="23"/>
      <c r="L3" s="317"/>
      <c r="M3" s="318"/>
      <c r="N3" s="318"/>
      <c r="O3" s="318"/>
      <c r="P3" s="318"/>
      <c r="Q3" s="318"/>
      <c r="R3" s="318"/>
      <c r="S3" s="319"/>
    </row>
    <row r="4" spans="1:21" ht="24.6">
      <c r="A4" s="57" t="s">
        <v>145</v>
      </c>
      <c r="G4" s="16"/>
      <c r="J4" s="23"/>
      <c r="L4" s="317"/>
      <c r="M4" s="318"/>
      <c r="N4" s="318"/>
      <c r="O4" s="318"/>
      <c r="P4" s="318"/>
      <c r="Q4" s="318"/>
      <c r="R4" s="318"/>
      <c r="S4" s="319"/>
      <c r="T4" s="23"/>
      <c r="U4" s="23"/>
    </row>
    <row r="5" spans="1:21" ht="16.149999999999999" thickBot="1">
      <c r="B5" s="1" t="s">
        <v>146</v>
      </c>
      <c r="D5" s="31">
        <f>'Development Costs'!C70</f>
        <v>3974479.62</v>
      </c>
      <c r="J5" s="23"/>
      <c r="L5" s="317"/>
      <c r="M5" s="318"/>
      <c r="N5" s="318"/>
      <c r="O5" s="318"/>
      <c r="P5" s="318"/>
      <c r="Q5" s="318"/>
      <c r="R5" s="318"/>
      <c r="S5" s="319"/>
      <c r="T5" s="23"/>
      <c r="U5" s="23"/>
    </row>
    <row r="6" spans="1:21" ht="26.65" customHeight="1">
      <c r="A6" s="129"/>
      <c r="B6" s="130" t="s">
        <v>147</v>
      </c>
      <c r="C6" s="130"/>
      <c r="D6" s="130"/>
      <c r="E6" s="131"/>
      <c r="F6" s="132"/>
      <c r="H6" s="4" t="s">
        <v>148</v>
      </c>
      <c r="I6" s="23" t="s">
        <v>149</v>
      </c>
      <c r="J6" s="23"/>
      <c r="L6" s="317"/>
      <c r="M6" s="318"/>
      <c r="N6" s="318"/>
      <c r="O6" s="318"/>
      <c r="P6" s="318"/>
      <c r="Q6" s="318"/>
      <c r="R6" s="318"/>
      <c r="S6" s="319"/>
      <c r="T6" s="23"/>
      <c r="U6" s="23"/>
    </row>
    <row r="7" spans="1:21" ht="15.6">
      <c r="A7" s="346" t="s">
        <v>150</v>
      </c>
      <c r="B7" s="1" t="s">
        <v>151</v>
      </c>
      <c r="F7" s="120"/>
      <c r="I7" s="23" t="s">
        <v>152</v>
      </c>
      <c r="J7" s="23"/>
      <c r="L7" s="317"/>
      <c r="M7" s="318"/>
      <c r="N7" s="318"/>
      <c r="O7" s="318"/>
      <c r="P7" s="318"/>
      <c r="Q7" s="318"/>
      <c r="R7" s="318"/>
      <c r="S7" s="319"/>
      <c r="T7" s="23"/>
      <c r="U7" s="23"/>
    </row>
    <row r="8" spans="1:21">
      <c r="A8" s="346"/>
      <c r="C8" s="11" t="s">
        <v>153</v>
      </c>
      <c r="D8" s="122"/>
      <c r="F8" s="120"/>
      <c r="I8" s="23" t="s">
        <v>154</v>
      </c>
      <c r="J8" s="23"/>
      <c r="L8" s="317"/>
      <c r="M8" s="318"/>
      <c r="N8" s="318"/>
      <c r="O8" s="318"/>
      <c r="P8" s="318"/>
      <c r="Q8" s="318"/>
      <c r="R8" s="318"/>
      <c r="S8" s="319"/>
      <c r="T8" s="23"/>
      <c r="U8" s="23"/>
    </row>
    <row r="9" spans="1:21" ht="15.6" customHeight="1" thickBot="1">
      <c r="A9" s="346"/>
      <c r="C9" s="11" t="s">
        <v>155</v>
      </c>
      <c r="D9" s="20" t="s">
        <v>156</v>
      </c>
      <c r="F9" s="120"/>
      <c r="H9" s="23"/>
      <c r="L9" s="317"/>
      <c r="M9" s="318"/>
      <c r="N9" s="318"/>
      <c r="O9" s="318"/>
      <c r="P9" s="318"/>
      <c r="Q9" s="318"/>
      <c r="R9" s="318"/>
      <c r="S9" s="319"/>
      <c r="T9" s="23"/>
      <c r="U9" s="23"/>
    </row>
    <row r="10" spans="1:21" ht="15.6">
      <c r="A10" s="346"/>
      <c r="C10" s="11" t="s">
        <v>157</v>
      </c>
      <c r="D10" s="122">
        <v>2150000</v>
      </c>
      <c r="F10" s="133"/>
      <c r="H10" s="111" t="s">
        <v>158</v>
      </c>
      <c r="I10" s="112" t="s">
        <v>159</v>
      </c>
      <c r="J10" s="113" t="s">
        <v>160</v>
      </c>
      <c r="L10" s="317"/>
      <c r="M10" s="318"/>
      <c r="N10" s="318"/>
      <c r="O10" s="318"/>
      <c r="P10" s="318"/>
      <c r="Q10" s="318"/>
      <c r="R10" s="318"/>
      <c r="S10" s="319"/>
      <c r="T10" s="23"/>
      <c r="U10" s="23"/>
    </row>
    <row r="11" spans="1:21">
      <c r="A11" s="346"/>
      <c r="C11" s="11" t="s">
        <v>161</v>
      </c>
      <c r="D11" s="32">
        <v>2.5000000000000001E-2</v>
      </c>
      <c r="F11" s="120"/>
      <c r="H11" s="114" t="s">
        <v>162</v>
      </c>
      <c r="I11" s="33">
        <f>IF($D$9="c",$D$10,0)+IF($D$17="c",$D$18,0)+IF($D$25="c",$D$26,0)</f>
        <v>0</v>
      </c>
      <c r="J11" s="115">
        <f t="shared" ref="J11:J18" si="0">I11/($D$56+$D$57)</f>
        <v>0</v>
      </c>
      <c r="L11" s="317"/>
      <c r="M11" s="318"/>
      <c r="N11" s="318"/>
      <c r="O11" s="318"/>
      <c r="P11" s="318"/>
      <c r="Q11" s="318"/>
      <c r="R11" s="318"/>
      <c r="S11" s="319"/>
      <c r="T11" s="23"/>
      <c r="U11" s="23"/>
    </row>
    <row r="12" spans="1:21">
      <c r="A12" s="346"/>
      <c r="C12" s="11" t="s">
        <v>163</v>
      </c>
      <c r="D12" s="34">
        <v>33</v>
      </c>
      <c r="F12" s="120"/>
      <c r="G12" s="23"/>
      <c r="H12" s="114" t="s">
        <v>164</v>
      </c>
      <c r="I12" s="33">
        <f>IF($D$9="t",$D$10,0)+IF($D$17="t",$D$18,0)+IF($D$25="t",$D$26,0)</f>
        <v>0</v>
      </c>
      <c r="J12" s="115">
        <f t="shared" si="0"/>
        <v>0</v>
      </c>
      <c r="L12" s="317"/>
      <c r="M12" s="318"/>
      <c r="N12" s="318"/>
      <c r="O12" s="318"/>
      <c r="P12" s="318"/>
      <c r="Q12" s="318"/>
      <c r="R12" s="318"/>
      <c r="S12" s="319"/>
      <c r="T12" s="23"/>
      <c r="U12" s="23"/>
    </row>
    <row r="13" spans="1:21">
      <c r="A13" s="346"/>
      <c r="C13" s="11" t="s">
        <v>165</v>
      </c>
      <c r="D13" s="33">
        <f>IF(D12=0,PMT(D11/12,12*1,D10,0,0)*12,PMT(D11/12,12*D12,D10,0,0)*12)</f>
        <v>-95744.702804389104</v>
      </c>
      <c r="E13" s="123">
        <f>'Operating Pro Forma'!$H$35/-'Permanent Financing Sources'!D13</f>
        <v>1.6761858912224126</v>
      </c>
      <c r="F13" s="120" t="s">
        <v>166</v>
      </c>
      <c r="G13" s="23"/>
      <c r="H13" s="114" t="s">
        <v>167</v>
      </c>
      <c r="I13" s="33">
        <f>IF($D$9="f",$D$10,0)+IF($D$17="f",$D$18,0)+IF($D$25="f",$D$26,0)</f>
        <v>2150000</v>
      </c>
      <c r="J13" s="115">
        <f t="shared" si="0"/>
        <v>0.54095132081718911</v>
      </c>
      <c r="L13" s="317"/>
      <c r="M13" s="318"/>
      <c r="N13" s="318"/>
      <c r="O13" s="318"/>
      <c r="P13" s="318"/>
      <c r="Q13" s="318"/>
      <c r="R13" s="318"/>
      <c r="S13" s="319"/>
      <c r="T13" s="23"/>
      <c r="U13" s="23"/>
    </row>
    <row r="14" spans="1:21">
      <c r="A14" s="346"/>
      <c r="F14" s="120"/>
      <c r="G14" s="23"/>
      <c r="H14" s="114" t="s">
        <v>168</v>
      </c>
      <c r="I14" s="33">
        <f>SUM(D32:D34)</f>
        <v>0</v>
      </c>
      <c r="J14" s="115">
        <f t="shared" si="0"/>
        <v>0</v>
      </c>
      <c r="L14" s="317"/>
      <c r="M14" s="318"/>
      <c r="N14" s="318"/>
      <c r="O14" s="318"/>
      <c r="P14" s="318"/>
      <c r="Q14" s="318"/>
      <c r="R14" s="318"/>
      <c r="S14" s="319"/>
      <c r="T14" s="23"/>
      <c r="U14" s="23"/>
    </row>
    <row r="15" spans="1:21" ht="15.6">
      <c r="A15" s="346"/>
      <c r="B15" s="1" t="s">
        <v>169</v>
      </c>
      <c r="F15" s="120"/>
      <c r="G15" s="23"/>
      <c r="H15" s="114" t="s">
        <v>170</v>
      </c>
      <c r="I15" s="33">
        <f>SUM(D38:D40)</f>
        <v>848007</v>
      </c>
      <c r="J15" s="115">
        <f t="shared" si="0"/>
        <v>0.21336302637777771</v>
      </c>
      <c r="L15" s="317"/>
      <c r="M15" s="318"/>
      <c r="N15" s="318"/>
      <c r="O15" s="318"/>
      <c r="P15" s="318"/>
      <c r="Q15" s="318"/>
      <c r="R15" s="318"/>
      <c r="S15" s="319"/>
      <c r="T15" s="23"/>
      <c r="U15" s="23"/>
    </row>
    <row r="16" spans="1:21">
      <c r="A16" s="346"/>
      <c r="C16" s="11" t="s">
        <v>171</v>
      </c>
      <c r="D16" s="20"/>
      <c r="F16" s="120"/>
      <c r="G16" s="23"/>
      <c r="H16" s="114" t="s">
        <v>172</v>
      </c>
      <c r="I16" s="33">
        <f>SUM(D44:D46)</f>
        <v>250000</v>
      </c>
      <c r="J16" s="115">
        <f t="shared" si="0"/>
        <v>6.2901316374091756E-2</v>
      </c>
      <c r="L16" s="317"/>
      <c r="M16" s="318"/>
      <c r="N16" s="318"/>
      <c r="O16" s="318"/>
      <c r="P16" s="318"/>
      <c r="Q16" s="318"/>
      <c r="R16" s="318"/>
      <c r="S16" s="319"/>
      <c r="T16" s="23"/>
      <c r="U16" s="23"/>
    </row>
    <row r="17" spans="1:21">
      <c r="A17" s="346"/>
      <c r="C17" s="11" t="s">
        <v>173</v>
      </c>
      <c r="D17" s="20"/>
      <c r="F17" s="120"/>
      <c r="G17" s="23"/>
      <c r="H17" s="114" t="s">
        <v>174</v>
      </c>
      <c r="I17" s="33">
        <f>SUM(D51:D54)</f>
        <v>51473</v>
      </c>
      <c r="J17" s="115">
        <f t="shared" si="0"/>
        <v>1.29508778308945E-2</v>
      </c>
      <c r="L17" s="317"/>
      <c r="M17" s="318"/>
      <c r="N17" s="318"/>
      <c r="O17" s="318"/>
      <c r="P17" s="318"/>
      <c r="Q17" s="318"/>
      <c r="R17" s="318"/>
      <c r="S17" s="319"/>
      <c r="T17" s="23"/>
      <c r="U17" s="23"/>
    </row>
    <row r="18" spans="1:21">
      <c r="A18" s="346"/>
      <c r="C18" s="11" t="s">
        <v>157</v>
      </c>
      <c r="D18" s="24">
        <v>675000</v>
      </c>
      <c r="F18" s="133"/>
      <c r="G18" s="23"/>
      <c r="H18" s="114" t="s">
        <v>175</v>
      </c>
      <c r="I18" s="33">
        <f>D57</f>
        <v>-0.37999999988824129</v>
      </c>
      <c r="J18" s="115">
        <f t="shared" si="0"/>
        <v>-9.5610000860500394E-8</v>
      </c>
      <c r="L18" s="317"/>
      <c r="M18" s="318"/>
      <c r="N18" s="318"/>
      <c r="O18" s="318"/>
      <c r="P18" s="318"/>
      <c r="Q18" s="318"/>
      <c r="R18" s="318"/>
      <c r="S18" s="319"/>
      <c r="T18" s="23"/>
      <c r="U18" s="23"/>
    </row>
    <row r="19" spans="1:21" ht="16.149999999999999" thickBot="1">
      <c r="A19" s="346"/>
      <c r="C19" s="11" t="s">
        <v>161</v>
      </c>
      <c r="D19" s="32">
        <v>0.05</v>
      </c>
      <c r="F19" s="120"/>
      <c r="G19" s="23"/>
      <c r="H19" s="70" t="s">
        <v>176</v>
      </c>
      <c r="I19" s="116">
        <f>SUM(I11:I18)</f>
        <v>3299479.62</v>
      </c>
      <c r="J19" s="117">
        <f>SUM(J11:J18)</f>
        <v>0.83016644578995236</v>
      </c>
      <c r="L19" s="317"/>
      <c r="M19" s="318"/>
      <c r="N19" s="318"/>
      <c r="O19" s="318"/>
      <c r="P19" s="318"/>
      <c r="Q19" s="318"/>
      <c r="R19" s="318"/>
      <c r="S19" s="319"/>
      <c r="T19" s="23"/>
      <c r="U19" s="23"/>
    </row>
    <row r="20" spans="1:21" ht="15.6" thickBot="1">
      <c r="A20" s="346"/>
      <c r="C20" s="11" t="s">
        <v>163</v>
      </c>
      <c r="D20" s="34">
        <v>30</v>
      </c>
      <c r="F20" s="120"/>
      <c r="G20" s="23"/>
      <c r="L20" s="317"/>
      <c r="M20" s="318"/>
      <c r="N20" s="318"/>
      <c r="O20" s="318"/>
      <c r="P20" s="318"/>
      <c r="Q20" s="318"/>
      <c r="R20" s="318"/>
      <c r="S20" s="319"/>
      <c r="T20" s="23"/>
      <c r="U20" s="23"/>
    </row>
    <row r="21" spans="1:21" ht="15.6">
      <c r="A21" s="346"/>
      <c r="C21" s="11" t="s">
        <v>165</v>
      </c>
      <c r="D21" s="33">
        <f>IF(D20=0,PMT(D19/12,12*1,D18,0,0)*12,PMT(D19/12,12*D20,D18,0,0)*12)</f>
        <v>-43482.551463983269</v>
      </c>
      <c r="E21" s="123">
        <f>'Operating Pro Forma'!$H$35/-('Permanent Financing Sources'!D21+D13)</f>
        <v>1.1526904042124519</v>
      </c>
      <c r="F21" s="120" t="s">
        <v>166</v>
      </c>
      <c r="H21" s="111" t="s">
        <v>177</v>
      </c>
      <c r="I21" s="118"/>
      <c r="J21" s="119"/>
      <c r="L21" s="317"/>
      <c r="M21" s="318"/>
      <c r="N21" s="318"/>
      <c r="O21" s="318"/>
      <c r="P21" s="318"/>
      <c r="Q21" s="318"/>
      <c r="R21" s="318"/>
      <c r="S21" s="319"/>
      <c r="T21" s="23"/>
      <c r="U21" s="23"/>
    </row>
    <row r="22" spans="1:21">
      <c r="A22" s="346"/>
      <c r="F22" s="120"/>
      <c r="H22" s="114" t="s">
        <v>178</v>
      </c>
      <c r="I22" s="350">
        <f>'Operating Pro Forma'!H35</f>
        <v>160485.91999999998</v>
      </c>
      <c r="J22" s="351"/>
      <c r="L22" s="317"/>
      <c r="M22" s="318"/>
      <c r="N22" s="318"/>
      <c r="O22" s="318"/>
      <c r="P22" s="318"/>
      <c r="Q22" s="318"/>
      <c r="R22" s="318"/>
      <c r="S22" s="319"/>
      <c r="T22" s="23"/>
      <c r="U22" s="23"/>
    </row>
    <row r="23" spans="1:21" ht="15.6">
      <c r="A23" s="346"/>
      <c r="B23" s="1" t="s">
        <v>179</v>
      </c>
      <c r="F23" s="120"/>
      <c r="H23" s="114" t="s">
        <v>180</v>
      </c>
      <c r="I23" s="62">
        <v>4.7699999999999999E-2</v>
      </c>
      <c r="J23" s="120"/>
      <c r="L23" s="317"/>
      <c r="M23" s="318"/>
      <c r="N23" s="318"/>
      <c r="O23" s="318"/>
      <c r="P23" s="318"/>
      <c r="Q23" s="318"/>
      <c r="R23" s="318"/>
      <c r="S23" s="319"/>
      <c r="T23" s="23"/>
      <c r="U23" s="23"/>
    </row>
    <row r="24" spans="1:21" ht="15.75" customHeight="1">
      <c r="A24" s="346"/>
      <c r="B24" s="11" t="s">
        <v>181</v>
      </c>
      <c r="C24" s="11" t="s">
        <v>182</v>
      </c>
      <c r="D24" s="20"/>
      <c r="F24" s="120"/>
      <c r="H24" s="114" t="s">
        <v>183</v>
      </c>
      <c r="I24" s="350">
        <f>I22/I23</f>
        <v>3364484.6960167713</v>
      </c>
      <c r="J24" s="351"/>
      <c r="L24" s="317"/>
      <c r="M24" s="318"/>
      <c r="N24" s="318"/>
      <c r="O24" s="318"/>
      <c r="P24" s="318"/>
      <c r="Q24" s="318"/>
      <c r="R24" s="318"/>
      <c r="S24" s="319"/>
      <c r="T24" s="23"/>
      <c r="U24" s="23"/>
    </row>
    <row r="25" spans="1:21">
      <c r="A25" s="346"/>
      <c r="C25" s="11" t="s">
        <v>173</v>
      </c>
      <c r="D25" s="20"/>
      <c r="F25" s="120"/>
      <c r="H25" s="114" t="s">
        <v>184</v>
      </c>
      <c r="I25" s="63"/>
      <c r="J25" s="120"/>
      <c r="L25" s="317"/>
      <c r="M25" s="318"/>
      <c r="N25" s="318"/>
      <c r="O25" s="318"/>
      <c r="P25" s="318"/>
      <c r="Q25" s="318"/>
      <c r="R25" s="318"/>
      <c r="S25" s="319"/>
      <c r="T25" s="23"/>
      <c r="U25" s="23"/>
    </row>
    <row r="26" spans="1:21" ht="15.6">
      <c r="A26" s="346"/>
      <c r="C26" s="11" t="s">
        <v>157</v>
      </c>
      <c r="D26" s="21"/>
      <c r="F26" s="134"/>
      <c r="H26" s="69" t="s">
        <v>185</v>
      </c>
      <c r="I26" s="348">
        <f>I24*I25</f>
        <v>0</v>
      </c>
      <c r="J26" s="349"/>
      <c r="L26" s="317"/>
      <c r="M26" s="318"/>
      <c r="N26" s="318"/>
      <c r="O26" s="318"/>
      <c r="P26" s="318"/>
      <c r="Q26" s="318"/>
      <c r="R26" s="318"/>
      <c r="S26" s="319"/>
      <c r="T26" s="23"/>
      <c r="U26" s="23"/>
    </row>
    <row r="27" spans="1:21">
      <c r="A27" s="346"/>
      <c r="C27" s="11" t="s">
        <v>161</v>
      </c>
      <c r="D27" s="32"/>
      <c r="F27" s="120"/>
      <c r="H27" s="114" t="s">
        <v>186</v>
      </c>
      <c r="I27" s="64"/>
      <c r="J27" s="121"/>
      <c r="L27" s="317"/>
      <c r="M27" s="318"/>
      <c r="N27" s="318"/>
      <c r="O27" s="318"/>
      <c r="P27" s="318"/>
      <c r="Q27" s="318"/>
      <c r="R27" s="318"/>
      <c r="S27" s="319"/>
      <c r="T27" s="23"/>
      <c r="U27" s="23"/>
    </row>
    <row r="28" spans="1:21">
      <c r="A28" s="346"/>
      <c r="C28" s="11" t="s">
        <v>163</v>
      </c>
      <c r="D28" s="34"/>
      <c r="F28" s="120"/>
      <c r="H28" s="114" t="s">
        <v>184</v>
      </c>
      <c r="I28" s="65"/>
      <c r="J28" s="120"/>
      <c r="L28" s="317"/>
      <c r="M28" s="318"/>
      <c r="N28" s="318"/>
      <c r="O28" s="318"/>
      <c r="P28" s="318"/>
      <c r="Q28" s="318"/>
      <c r="R28" s="318"/>
      <c r="S28" s="319"/>
      <c r="T28" s="23"/>
      <c r="U28" s="23"/>
    </row>
    <row r="29" spans="1:21" ht="16.149999999999999" thickBot="1">
      <c r="A29" s="346"/>
      <c r="C29" s="11" t="s">
        <v>165</v>
      </c>
      <c r="D29" s="33">
        <f>IF(D28=0,PMT(D27/12,12*1,D26,0,0)*12,PMT(D27/12,12*D28,D26,0,0)*12)</f>
        <v>0</v>
      </c>
      <c r="E29" s="123">
        <f>'Operating Pro Forma'!$H$35/-('Permanent Financing Sources'!D29+D21+D13)</f>
        <v>1.1526904042124519</v>
      </c>
      <c r="F29" s="120" t="s">
        <v>166</v>
      </c>
      <c r="H29" s="70" t="s">
        <v>185</v>
      </c>
      <c r="I29" s="343">
        <f>I27*I28</f>
        <v>0</v>
      </c>
      <c r="J29" s="344"/>
      <c r="L29" s="317"/>
      <c r="M29" s="318"/>
      <c r="N29" s="318"/>
      <c r="O29" s="318"/>
      <c r="P29" s="318"/>
      <c r="Q29" s="318"/>
      <c r="R29" s="318"/>
      <c r="S29" s="319"/>
      <c r="T29" s="23"/>
      <c r="U29" s="23"/>
    </row>
    <row r="30" spans="1:21">
      <c r="A30" s="346"/>
      <c r="D30" s="33"/>
      <c r="F30" s="120"/>
      <c r="L30" s="317"/>
      <c r="M30" s="318"/>
      <c r="N30" s="318"/>
      <c r="O30" s="318"/>
      <c r="P30" s="318"/>
      <c r="Q30" s="318"/>
      <c r="R30" s="318"/>
      <c r="S30" s="319"/>
      <c r="T30" s="23"/>
      <c r="U30" s="23"/>
    </row>
    <row r="31" spans="1:21" ht="15.6">
      <c r="A31" s="345" t="s">
        <v>187</v>
      </c>
      <c r="B31" s="1" t="s">
        <v>188</v>
      </c>
      <c r="C31" s="1"/>
      <c r="D31" s="1"/>
      <c r="F31" s="120"/>
      <c r="I31" s="199"/>
      <c r="L31" s="317"/>
      <c r="M31" s="318"/>
      <c r="N31" s="318"/>
      <c r="O31" s="318"/>
      <c r="P31" s="318"/>
      <c r="Q31" s="318"/>
      <c r="R31" s="318"/>
      <c r="S31" s="319"/>
      <c r="T31" s="23"/>
      <c r="U31" s="23"/>
    </row>
    <row r="32" spans="1:21" ht="15.6">
      <c r="A32" s="345"/>
      <c r="C32" s="11" t="s">
        <v>189</v>
      </c>
      <c r="D32" s="19">
        <v>0</v>
      </c>
      <c r="F32" s="120"/>
      <c r="H32" s="1"/>
      <c r="I32" s="200"/>
      <c r="J32" s="1"/>
      <c r="L32" s="317"/>
      <c r="M32" s="318"/>
      <c r="N32" s="318"/>
      <c r="O32" s="318"/>
      <c r="P32" s="318"/>
      <c r="Q32" s="318"/>
      <c r="R32" s="318"/>
      <c r="S32" s="319"/>
      <c r="T32" s="23"/>
      <c r="U32" s="23"/>
    </row>
    <row r="33" spans="1:21">
      <c r="A33" s="345"/>
      <c r="C33" s="11" t="s">
        <v>190</v>
      </c>
      <c r="D33" s="19">
        <v>0</v>
      </c>
      <c r="F33" s="120"/>
      <c r="L33" s="317"/>
      <c r="M33" s="318"/>
      <c r="N33" s="318"/>
      <c r="O33" s="318"/>
      <c r="P33" s="318"/>
      <c r="Q33" s="318"/>
      <c r="R33" s="318"/>
      <c r="S33" s="319"/>
      <c r="T33" s="23"/>
      <c r="U33" s="23"/>
    </row>
    <row r="34" spans="1:21" ht="15.6" customHeight="1" thickBot="1">
      <c r="A34" s="345"/>
      <c r="C34" s="11" t="s">
        <v>191</v>
      </c>
      <c r="D34" s="19">
        <v>0</v>
      </c>
      <c r="F34" s="120"/>
      <c r="L34" s="320"/>
      <c r="M34" s="321"/>
      <c r="N34" s="321"/>
      <c r="O34" s="321"/>
      <c r="P34" s="321"/>
      <c r="Q34" s="321"/>
      <c r="R34" s="321"/>
      <c r="S34" s="322"/>
      <c r="T34" s="23"/>
      <c r="U34" s="23"/>
    </row>
    <row r="35" spans="1:21">
      <c r="A35" s="345"/>
      <c r="D35" s="33"/>
      <c r="F35" s="120"/>
      <c r="G35" s="23"/>
      <c r="L35"/>
      <c r="M35"/>
      <c r="N35"/>
      <c r="O35"/>
      <c r="P35"/>
      <c r="Q35"/>
      <c r="R35"/>
      <c r="S35"/>
      <c r="T35" s="23"/>
      <c r="U35" s="23"/>
    </row>
    <row r="36" spans="1:21" ht="15.6">
      <c r="A36" s="346" t="s">
        <v>192</v>
      </c>
      <c r="B36" s="1" t="s">
        <v>193</v>
      </c>
      <c r="C36" s="1"/>
      <c r="D36" s="1"/>
      <c r="F36" s="120"/>
      <c r="G36" s="23"/>
      <c r="L36"/>
      <c r="M36"/>
      <c r="N36"/>
      <c r="O36"/>
      <c r="P36"/>
      <c r="Q36"/>
      <c r="R36"/>
      <c r="S36"/>
      <c r="T36" s="23"/>
      <c r="U36" s="23"/>
    </row>
    <row r="37" spans="1:21">
      <c r="A37" s="346"/>
      <c r="B37" s="23" t="s">
        <v>194</v>
      </c>
      <c r="E37" s="124"/>
      <c r="F37" s="135"/>
      <c r="G37" s="23"/>
      <c r="L37"/>
      <c r="M37"/>
      <c r="N37"/>
      <c r="O37"/>
      <c r="P37"/>
      <c r="Q37"/>
      <c r="R37"/>
      <c r="S37"/>
      <c r="T37" s="23"/>
      <c r="U37" s="23"/>
    </row>
    <row r="38" spans="1:21" ht="15.6">
      <c r="A38" s="346"/>
      <c r="B38" s="22" t="s">
        <v>195</v>
      </c>
      <c r="C38" s="23" t="s">
        <v>196</v>
      </c>
      <c r="D38" s="21">
        <v>0</v>
      </c>
      <c r="E38" s="125">
        <f>+D38/'Operating Pro Forma'!C23</f>
        <v>0</v>
      </c>
      <c r="F38" s="136" t="s">
        <v>197</v>
      </c>
      <c r="G38" s="23"/>
      <c r="L38"/>
      <c r="M38"/>
      <c r="N38"/>
      <c r="O38"/>
      <c r="P38"/>
      <c r="Q38"/>
      <c r="R38"/>
      <c r="S38"/>
      <c r="T38" s="23"/>
      <c r="U38" s="23"/>
    </row>
    <row r="39" spans="1:21">
      <c r="A39" s="346"/>
      <c r="B39" s="20" t="s">
        <v>198</v>
      </c>
      <c r="C39" s="23" t="s">
        <v>196</v>
      </c>
      <c r="D39" s="67">
        <v>848007</v>
      </c>
      <c r="E39" s="126"/>
      <c r="F39" s="136"/>
      <c r="G39" s="23"/>
      <c r="L39"/>
      <c r="M39"/>
      <c r="N39"/>
      <c r="O39"/>
      <c r="P39"/>
      <c r="Q39"/>
      <c r="R39"/>
      <c r="S39"/>
      <c r="T39" s="23"/>
      <c r="U39" s="23"/>
    </row>
    <row r="40" spans="1:21">
      <c r="A40" s="346"/>
      <c r="B40" s="20"/>
      <c r="C40" s="23" t="s">
        <v>196</v>
      </c>
      <c r="D40" s="21"/>
      <c r="E40" s="23"/>
      <c r="F40" s="137"/>
      <c r="G40" s="23"/>
      <c r="H40" s="6"/>
      <c r="I40" s="10"/>
      <c r="J40" s="35"/>
      <c r="L40"/>
      <c r="M40"/>
      <c r="N40"/>
      <c r="O40"/>
      <c r="P40"/>
      <c r="Q40"/>
      <c r="R40"/>
      <c r="S40"/>
      <c r="T40" s="23"/>
      <c r="U40" s="23"/>
    </row>
    <row r="41" spans="1:21">
      <c r="A41" s="346"/>
      <c r="B41" s="23"/>
      <c r="C41" s="23"/>
      <c r="D41" s="72"/>
      <c r="E41" s="23"/>
      <c r="F41" s="137"/>
      <c r="G41" s="23"/>
      <c r="H41" s="6"/>
      <c r="I41" s="10"/>
      <c r="J41" s="36"/>
      <c r="L41"/>
      <c r="M41"/>
      <c r="N41"/>
      <c r="O41"/>
      <c r="P41"/>
      <c r="Q41"/>
      <c r="R41"/>
      <c r="S41"/>
      <c r="T41" s="23"/>
      <c r="U41" s="23"/>
    </row>
    <row r="42" spans="1:21" ht="15.6">
      <c r="A42" s="346"/>
      <c r="B42" s="4" t="s">
        <v>199</v>
      </c>
      <c r="C42" s="4"/>
      <c r="D42" s="1" t="s">
        <v>200</v>
      </c>
      <c r="F42" s="120"/>
      <c r="G42" s="23"/>
      <c r="H42" s="6"/>
      <c r="I42" s="10"/>
      <c r="J42" s="36"/>
      <c r="L42"/>
      <c r="M42"/>
      <c r="N42"/>
      <c r="O42"/>
      <c r="P42"/>
      <c r="Q42"/>
      <c r="R42"/>
      <c r="S42"/>
    </row>
    <row r="43" spans="1:21" ht="15.6">
      <c r="A43" s="346"/>
      <c r="B43" s="11" t="s">
        <v>194</v>
      </c>
      <c r="E43" s="126"/>
      <c r="F43" s="136"/>
      <c r="G43" s="23"/>
      <c r="H43" s="27"/>
      <c r="I43" s="28"/>
      <c r="J43" s="36"/>
      <c r="L43"/>
      <c r="M43"/>
      <c r="N43"/>
      <c r="O43"/>
      <c r="P43"/>
      <c r="Q43"/>
      <c r="R43"/>
      <c r="S43"/>
    </row>
    <row r="44" spans="1:21" ht="15.6">
      <c r="A44" s="346"/>
      <c r="B44" s="20" t="s">
        <v>201</v>
      </c>
      <c r="C44" s="11" t="s">
        <v>196</v>
      </c>
      <c r="D44" s="21">
        <v>250000</v>
      </c>
      <c r="E44" s="126"/>
      <c r="F44" s="136"/>
      <c r="G44" s="23"/>
      <c r="I44" s="28"/>
      <c r="L44" s="198"/>
      <c r="M44" s="198"/>
      <c r="N44" s="198"/>
      <c r="O44" s="198"/>
      <c r="P44" s="198"/>
      <c r="Q44" s="198"/>
      <c r="R44" s="198"/>
      <c r="S44" s="198"/>
    </row>
    <row r="45" spans="1:21" ht="15.6">
      <c r="A45" s="346"/>
      <c r="B45" s="20"/>
      <c r="C45" s="11" t="s">
        <v>196</v>
      </c>
      <c r="D45" s="21"/>
      <c r="E45" s="126"/>
      <c r="F45" s="136"/>
      <c r="G45" s="23"/>
      <c r="I45" s="28"/>
      <c r="L45" s="198"/>
      <c r="M45" s="198"/>
      <c r="N45" s="198"/>
      <c r="O45" s="198"/>
      <c r="P45" s="198"/>
      <c r="Q45" s="198"/>
      <c r="R45" s="198"/>
      <c r="S45" s="198"/>
    </row>
    <row r="46" spans="1:21" ht="15.6">
      <c r="A46" s="346"/>
      <c r="B46" s="20"/>
      <c r="C46" s="11" t="s">
        <v>196</v>
      </c>
      <c r="D46" s="21"/>
      <c r="F46" s="120"/>
      <c r="I46" s="28"/>
      <c r="L46" s="198"/>
      <c r="M46" s="198"/>
      <c r="N46" s="198"/>
      <c r="O46" s="198"/>
      <c r="P46" s="198"/>
      <c r="Q46" s="198"/>
      <c r="R46" s="198"/>
      <c r="S46" s="198"/>
      <c r="T46" s="23"/>
      <c r="U46" s="23"/>
    </row>
    <row r="47" spans="1:21">
      <c r="A47" s="346"/>
      <c r="B47" s="20"/>
      <c r="C47" s="11" t="s">
        <v>196</v>
      </c>
      <c r="D47" s="21"/>
      <c r="E47" s="23"/>
      <c r="F47" s="137"/>
      <c r="M47" s="23"/>
      <c r="N47" s="23"/>
      <c r="O47" s="23"/>
      <c r="P47" s="23"/>
      <c r="Q47" s="23"/>
      <c r="R47" s="23"/>
      <c r="S47" s="23"/>
      <c r="T47" s="23"/>
      <c r="U47" s="23"/>
    </row>
    <row r="48" spans="1:21" ht="15.6">
      <c r="A48" s="346"/>
      <c r="B48" s="1"/>
      <c r="C48" s="1"/>
      <c r="D48" s="1"/>
      <c r="E48" s="23"/>
      <c r="F48" s="137"/>
      <c r="M48" s="23"/>
      <c r="N48" s="23"/>
      <c r="O48" s="23"/>
      <c r="P48" s="23"/>
      <c r="Q48" s="23"/>
      <c r="R48" s="23"/>
      <c r="S48" s="23"/>
      <c r="T48" s="23"/>
      <c r="U48" s="23"/>
    </row>
    <row r="49" spans="1:21" ht="15" customHeight="1">
      <c r="A49" s="345" t="s">
        <v>202</v>
      </c>
      <c r="B49" s="1" t="s">
        <v>203</v>
      </c>
      <c r="C49" s="1"/>
      <c r="D49" s="1"/>
      <c r="E49" s="23"/>
      <c r="F49" s="137"/>
      <c r="M49" s="23"/>
      <c r="N49" s="23"/>
      <c r="O49" s="23"/>
      <c r="P49" s="23"/>
      <c r="Q49" s="23"/>
      <c r="R49" s="23"/>
      <c r="S49" s="23"/>
      <c r="T49" s="23"/>
      <c r="U49" s="23"/>
    </row>
    <row r="50" spans="1:21">
      <c r="A50" s="345"/>
      <c r="B50" s="23" t="s">
        <v>194</v>
      </c>
      <c r="C50" s="23" t="s">
        <v>200</v>
      </c>
      <c r="D50" s="23"/>
      <c r="E50" s="72"/>
      <c r="F50" s="138"/>
      <c r="G50" s="23"/>
      <c r="M50" s="23"/>
      <c r="N50" s="23"/>
      <c r="O50" s="23"/>
      <c r="P50" s="23"/>
      <c r="Q50" s="23"/>
      <c r="R50" s="23"/>
      <c r="S50" s="23"/>
      <c r="T50" s="23"/>
      <c r="U50" s="23"/>
    </row>
    <row r="51" spans="1:21" ht="15.6" customHeight="1">
      <c r="A51" s="345"/>
      <c r="B51" s="20" t="s">
        <v>204</v>
      </c>
      <c r="C51" s="23" t="s">
        <v>196</v>
      </c>
      <c r="D51" s="21">
        <v>51473</v>
      </c>
      <c r="E51" s="33">
        <f>+'Development Costs'!C59-'Permanent Financing Sources'!D51</f>
        <v>32527</v>
      </c>
      <c r="F51" s="138" t="s">
        <v>205</v>
      </c>
      <c r="G51" s="23"/>
      <c r="J51" s="23"/>
      <c r="M51" s="23"/>
      <c r="N51" s="23"/>
      <c r="O51" s="23"/>
      <c r="P51" s="23"/>
      <c r="Q51" s="23"/>
      <c r="R51" s="23"/>
      <c r="S51" s="23"/>
      <c r="T51" s="23"/>
      <c r="U51" s="23"/>
    </row>
    <row r="52" spans="1:21" ht="15" customHeight="1">
      <c r="A52" s="345"/>
      <c r="B52" s="20" t="s">
        <v>174</v>
      </c>
      <c r="C52" s="23" t="s">
        <v>196</v>
      </c>
      <c r="D52" s="21"/>
      <c r="E52" s="23"/>
      <c r="F52" s="137"/>
      <c r="G52" s="23"/>
      <c r="J52" s="23"/>
      <c r="M52" s="23"/>
      <c r="N52" s="23"/>
      <c r="O52" s="23"/>
      <c r="P52" s="23"/>
      <c r="Q52" s="23"/>
      <c r="R52" s="23"/>
      <c r="S52" s="23"/>
      <c r="T52" s="23"/>
      <c r="U52" s="23"/>
    </row>
    <row r="53" spans="1:21">
      <c r="A53" s="345"/>
      <c r="B53" s="20"/>
      <c r="C53" s="23" t="s">
        <v>196</v>
      </c>
      <c r="D53" s="21"/>
      <c r="E53" s="23"/>
      <c r="F53" s="137"/>
      <c r="G53" s="23"/>
      <c r="J53" s="23"/>
      <c r="M53" s="23"/>
      <c r="N53" s="23"/>
      <c r="O53" s="23"/>
      <c r="P53" s="23"/>
      <c r="Q53" s="23"/>
      <c r="R53" s="23"/>
      <c r="S53" s="23"/>
      <c r="T53" s="23"/>
      <c r="U53" s="23"/>
    </row>
    <row r="54" spans="1:21">
      <c r="A54" s="345"/>
      <c r="B54" s="20"/>
      <c r="C54" s="23" t="s">
        <v>196</v>
      </c>
      <c r="D54" s="21"/>
      <c r="E54" s="23"/>
      <c r="F54" s="137"/>
      <c r="G54" s="23"/>
      <c r="J54" s="23"/>
      <c r="M54" s="23"/>
      <c r="N54" s="23"/>
      <c r="O54" s="23"/>
      <c r="P54" s="23"/>
      <c r="Q54" s="23"/>
      <c r="R54" s="23"/>
      <c r="S54" s="23"/>
      <c r="T54" s="23"/>
      <c r="U54" s="23"/>
    </row>
    <row r="55" spans="1:21">
      <c r="A55" s="345"/>
      <c r="B55" s="23"/>
      <c r="C55" s="23"/>
      <c r="D55" s="11" t="s">
        <v>200</v>
      </c>
      <c r="E55" s="23"/>
      <c r="F55" s="137"/>
      <c r="G55" s="23"/>
      <c r="J55" s="23"/>
      <c r="M55" s="23"/>
      <c r="N55" s="23"/>
      <c r="O55" s="23"/>
      <c r="P55" s="23"/>
      <c r="Q55" s="23"/>
      <c r="R55" s="23"/>
      <c r="S55" s="23"/>
      <c r="T55" s="23"/>
      <c r="U55" s="23"/>
    </row>
    <row r="56" spans="1:21" ht="15.6">
      <c r="A56" s="139"/>
      <c r="B56" s="127" t="s">
        <v>176</v>
      </c>
      <c r="C56" s="127"/>
      <c r="D56" s="128">
        <f>SUM(D32:D55)+D26+D18+D10</f>
        <v>3974480</v>
      </c>
      <c r="E56" s="23"/>
      <c r="F56" s="137"/>
      <c r="G56" s="8"/>
      <c r="J56" s="23"/>
      <c r="M56" s="23"/>
      <c r="N56" s="23"/>
      <c r="O56" s="23"/>
      <c r="P56" s="23"/>
      <c r="Q56" s="23"/>
      <c r="R56" s="23"/>
      <c r="S56" s="23"/>
      <c r="T56" s="23"/>
      <c r="U56" s="23"/>
    </row>
    <row r="57" spans="1:21" ht="16.149999999999999" thickBot="1">
      <c r="A57" s="140"/>
      <c r="B57" s="141" t="s">
        <v>206</v>
      </c>
      <c r="C57" s="141"/>
      <c r="D57" s="142">
        <f>D5-D56</f>
        <v>-0.37999999988824129</v>
      </c>
      <c r="E57" s="143"/>
      <c r="F57" s="144"/>
      <c r="G57" s="23"/>
      <c r="J57" s="23"/>
      <c r="M57" s="23"/>
      <c r="N57" s="23"/>
      <c r="O57" s="23"/>
    </row>
    <row r="58" spans="1:21" ht="15.6" thickBot="1">
      <c r="B58" s="23"/>
      <c r="C58" s="23"/>
      <c r="D58" s="23"/>
      <c r="E58" s="23"/>
      <c r="F58" s="23"/>
      <c r="G58" s="23"/>
      <c r="J58" s="23"/>
      <c r="M58" s="23"/>
      <c r="N58" s="23"/>
      <c r="O58" s="23"/>
      <c r="P58" s="23"/>
      <c r="Q58" s="23"/>
      <c r="R58" s="23"/>
      <c r="S58" s="23"/>
      <c r="T58" s="23"/>
      <c r="U58" s="23"/>
    </row>
    <row r="59" spans="1:21" ht="15.6" thickTop="1">
      <c r="B59" s="37" t="s">
        <v>135</v>
      </c>
      <c r="C59" s="7">
        <f>'Operating Pro Forma'!C37</f>
        <v>0.84012807033098436</v>
      </c>
      <c r="D59" s="38" t="s">
        <v>136</v>
      </c>
      <c r="E59" s="39"/>
      <c r="F59" s="40">
        <f>'Operating Pro Forma'!F37</f>
        <v>139552.97391304348</v>
      </c>
      <c r="G59" s="23"/>
      <c r="J59" s="23"/>
      <c r="M59" s="23"/>
      <c r="N59" s="23"/>
      <c r="O59" s="23"/>
      <c r="P59" s="23"/>
      <c r="Q59" s="23"/>
      <c r="R59" s="23"/>
      <c r="S59" s="23"/>
      <c r="T59" s="23"/>
      <c r="U59" s="23"/>
    </row>
    <row r="60" spans="1:21" ht="15.6" thickBot="1">
      <c r="B60" s="41" t="s">
        <v>166</v>
      </c>
      <c r="C60" s="42">
        <f>'Operating Pro Forma'!$F$38</f>
        <v>1.1526904042124519</v>
      </c>
      <c r="D60" s="43" t="s">
        <v>180</v>
      </c>
      <c r="E60" s="44"/>
      <c r="F60" s="45">
        <f>I23</f>
        <v>4.7699999999999999E-2</v>
      </c>
      <c r="G60" s="23"/>
      <c r="J60" s="23"/>
      <c r="M60" s="23"/>
      <c r="N60" s="23"/>
      <c r="O60" s="23"/>
      <c r="P60" s="23"/>
      <c r="Q60" s="23"/>
      <c r="R60" s="23"/>
      <c r="S60" s="23"/>
      <c r="T60" s="23"/>
      <c r="U60" s="23"/>
    </row>
    <row r="61" spans="1:21" ht="15.6" thickTop="1">
      <c r="G61" s="23"/>
      <c r="J61" s="23"/>
      <c r="L61" s="23"/>
      <c r="M61" s="23"/>
      <c r="N61" s="23"/>
      <c r="O61" s="23"/>
      <c r="P61" s="23"/>
      <c r="Q61" s="23"/>
      <c r="R61" s="23"/>
      <c r="S61" s="23"/>
      <c r="T61" s="23"/>
      <c r="U61" s="23"/>
    </row>
    <row r="62" spans="1:21">
      <c r="B62" s="11" t="s">
        <v>138</v>
      </c>
      <c r="D62" s="11" t="s">
        <v>141</v>
      </c>
      <c r="G62" s="23"/>
      <c r="J62" s="23"/>
      <c r="L62" s="23"/>
      <c r="M62" s="23"/>
      <c r="N62" s="23"/>
      <c r="O62" s="23"/>
      <c r="P62" s="23"/>
      <c r="Q62" s="23"/>
      <c r="R62" s="23"/>
      <c r="S62" s="23"/>
      <c r="T62" s="23"/>
      <c r="U62" s="23"/>
    </row>
    <row r="63" spans="1:21">
      <c r="B63" s="11" t="s">
        <v>207</v>
      </c>
      <c r="C63" s="23"/>
      <c r="D63" s="11" t="s">
        <v>208</v>
      </c>
      <c r="E63" s="23"/>
      <c r="F63" s="23"/>
      <c r="G63" s="23"/>
      <c r="J63" s="23"/>
      <c r="L63" s="23"/>
      <c r="M63" s="23"/>
      <c r="N63" s="23"/>
      <c r="O63" s="23"/>
      <c r="P63" s="23"/>
      <c r="Q63" s="23"/>
      <c r="R63" s="23"/>
      <c r="S63" s="23"/>
      <c r="T63" s="23"/>
      <c r="U63" s="23"/>
    </row>
    <row r="64" spans="1:21">
      <c r="E64" s="23"/>
      <c r="F64" s="23"/>
      <c r="G64" s="23"/>
      <c r="J64" s="23"/>
      <c r="L64" s="23"/>
      <c r="M64" s="23"/>
      <c r="N64" s="23"/>
      <c r="O64" s="23"/>
      <c r="P64" s="23"/>
      <c r="Q64" s="23"/>
      <c r="R64" s="23"/>
      <c r="S64" s="23"/>
      <c r="T64" s="23"/>
      <c r="U64" s="23"/>
    </row>
    <row r="65" spans="2:12">
      <c r="E65" s="23"/>
      <c r="F65" s="23"/>
      <c r="G65" s="23"/>
      <c r="L65" s="23"/>
    </row>
    <row r="66" spans="2:12">
      <c r="C66" s="23"/>
      <c r="D66" s="23"/>
      <c r="E66" s="23"/>
      <c r="F66" s="23"/>
      <c r="G66" s="23"/>
      <c r="L66" s="23"/>
    </row>
    <row r="67" spans="2:12">
      <c r="B67" s="23"/>
      <c r="C67" s="23"/>
      <c r="D67" s="23"/>
      <c r="E67" s="23"/>
      <c r="F67" s="23"/>
      <c r="G67" s="23"/>
      <c r="L67" s="23"/>
    </row>
    <row r="68" spans="2:12">
      <c r="L68" s="23"/>
    </row>
    <row r="69" spans="2:12">
      <c r="L69" s="23"/>
    </row>
    <row r="70" spans="2:12">
      <c r="L70" s="23"/>
    </row>
    <row r="71" spans="2:12">
      <c r="L71" s="23"/>
    </row>
    <row r="72" spans="2:12">
      <c r="L72" s="23"/>
    </row>
    <row r="73" spans="2:12">
      <c r="L73" s="23"/>
    </row>
  </sheetData>
  <mergeCells count="11">
    <mergeCell ref="L1:S1"/>
    <mergeCell ref="L2:S34"/>
    <mergeCell ref="I29:J29"/>
    <mergeCell ref="A49:A55"/>
    <mergeCell ref="A36:A48"/>
    <mergeCell ref="A31:A35"/>
    <mergeCell ref="A7:A30"/>
    <mergeCell ref="D2:F2"/>
    <mergeCell ref="I26:J26"/>
    <mergeCell ref="I22:J22"/>
    <mergeCell ref="I24:J24"/>
  </mergeCells>
  <phoneticPr fontId="3" type="noConversion"/>
  <pageMargins left="0.75" right="0.75" top="0.75" bottom="0.8" header="0.5" footer="0.5"/>
  <pageSetup scale="63"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P17"/>
  <sheetViews>
    <sheetView workbookViewId="0">
      <selection activeCell="F6" sqref="F6"/>
    </sheetView>
  </sheetViews>
  <sheetFormatPr defaultColWidth="7.109375" defaultRowHeight="15"/>
  <cols>
    <col min="1" max="1" width="21" style="11" customWidth="1"/>
    <col min="2" max="2" width="22.77734375" style="11" customWidth="1"/>
    <col min="3" max="3" width="15.44140625" style="11" customWidth="1"/>
    <col min="4" max="4" width="16.21875" style="11" customWidth="1"/>
    <col min="5" max="5" width="17.77734375" style="11" customWidth="1"/>
    <col min="6" max="6" width="47.21875" style="11" customWidth="1"/>
    <col min="7" max="7" width="9" style="11" customWidth="1"/>
    <col min="8" max="8" width="1.77734375" style="11" customWidth="1"/>
    <col min="9" max="22" width="7.109375" style="11" customWidth="1"/>
    <col min="23" max="23" width="9.77734375" style="11" customWidth="1"/>
    <col min="24" max="16384" width="7.109375" style="11"/>
  </cols>
  <sheetData>
    <row r="1" spans="1:16" ht="15.6">
      <c r="A1" s="4" t="s">
        <v>4</v>
      </c>
      <c r="B1" s="60" t="str">
        <f>'Development Costs'!B1</f>
        <v>Sample</v>
      </c>
      <c r="I1" s="326" t="s">
        <v>6</v>
      </c>
      <c r="J1" s="327"/>
      <c r="K1" s="327"/>
      <c r="L1" s="327"/>
      <c r="M1" s="327"/>
      <c r="N1" s="327"/>
      <c r="O1" s="327"/>
      <c r="P1" s="328"/>
    </row>
    <row r="2" spans="1:16" ht="15.75" customHeight="1">
      <c r="A2" s="4" t="s">
        <v>7</v>
      </c>
      <c r="B2" s="59">
        <f>'Development Costs'!B2</f>
        <v>44835</v>
      </c>
      <c r="C2" s="347"/>
      <c r="D2" s="347"/>
      <c r="E2" s="347"/>
      <c r="H2" s="25"/>
      <c r="I2" s="317" t="s">
        <v>209</v>
      </c>
      <c r="J2" s="318"/>
      <c r="K2" s="318"/>
      <c r="L2" s="318"/>
      <c r="M2" s="318"/>
      <c r="N2" s="318"/>
      <c r="O2" s="318"/>
      <c r="P2" s="319"/>
    </row>
    <row r="3" spans="1:16" ht="15.6">
      <c r="B3" s="4"/>
      <c r="D3" s="52"/>
      <c r="F3" s="1"/>
      <c r="I3" s="317"/>
      <c r="J3" s="318"/>
      <c r="K3" s="318"/>
      <c r="L3" s="318"/>
      <c r="M3" s="318"/>
      <c r="N3" s="318"/>
      <c r="O3" s="318"/>
      <c r="P3" s="319"/>
    </row>
    <row r="4" spans="1:16" ht="25.15" thickBot="1">
      <c r="A4" s="57" t="s">
        <v>210</v>
      </c>
      <c r="I4" s="317"/>
      <c r="J4" s="318"/>
      <c r="K4" s="318"/>
      <c r="L4" s="318"/>
      <c r="M4" s="318"/>
      <c r="N4" s="318"/>
      <c r="O4" s="318"/>
      <c r="P4" s="319"/>
    </row>
    <row r="5" spans="1:16" ht="15.6">
      <c r="A5" s="146" t="s">
        <v>211</v>
      </c>
      <c r="B5" s="147"/>
      <c r="C5" s="147" t="s">
        <v>212</v>
      </c>
      <c r="D5" s="148" t="s">
        <v>213</v>
      </c>
      <c r="E5" s="147" t="s">
        <v>214</v>
      </c>
      <c r="F5" s="147" t="s">
        <v>194</v>
      </c>
      <c r="G5" s="149" t="s">
        <v>215</v>
      </c>
      <c r="I5" s="317"/>
      <c r="J5" s="318"/>
      <c r="K5" s="318"/>
      <c r="L5" s="318"/>
      <c r="M5" s="318"/>
      <c r="N5" s="318"/>
      <c r="O5" s="318"/>
      <c r="P5" s="319"/>
    </row>
    <row r="6" spans="1:16">
      <c r="A6" s="103" t="s">
        <v>216</v>
      </c>
      <c r="B6" s="23"/>
      <c r="C6" s="145">
        <f>'Development Costs'!C9</f>
        <v>70000</v>
      </c>
      <c r="D6" s="53"/>
      <c r="E6" s="53">
        <f>+C6-D6</f>
        <v>70000</v>
      </c>
      <c r="F6" s="54"/>
      <c r="G6" s="150" t="s">
        <v>217</v>
      </c>
      <c r="I6" s="317"/>
      <c r="J6" s="318"/>
      <c r="K6" s="318"/>
      <c r="L6" s="318"/>
      <c r="M6" s="318"/>
      <c r="N6" s="318"/>
      <c r="O6" s="318"/>
      <c r="P6" s="319"/>
    </row>
    <row r="7" spans="1:16" ht="30.6" customHeight="1">
      <c r="A7" s="103" t="s">
        <v>218</v>
      </c>
      <c r="B7" s="23"/>
      <c r="C7" s="145">
        <f>'Development Costs'!C14</f>
        <v>0</v>
      </c>
      <c r="D7" s="53"/>
      <c r="E7" s="53">
        <f t="shared" ref="E7:E13" si="0">+C7-D7</f>
        <v>0</v>
      </c>
      <c r="F7" s="54"/>
      <c r="G7" s="150" t="s">
        <v>219</v>
      </c>
      <c r="I7" s="317"/>
      <c r="J7" s="318"/>
      <c r="K7" s="318"/>
      <c r="L7" s="318"/>
      <c r="M7" s="318"/>
      <c r="N7" s="318"/>
      <c r="O7" s="318"/>
      <c r="P7" s="319"/>
    </row>
    <row r="8" spans="1:16">
      <c r="A8" s="103" t="s">
        <v>220</v>
      </c>
      <c r="B8" s="23"/>
      <c r="C8" s="145">
        <f>'Development Costs'!C22</f>
        <v>3400000</v>
      </c>
      <c r="D8" s="53"/>
      <c r="E8" s="53">
        <f t="shared" si="0"/>
        <v>3400000</v>
      </c>
      <c r="F8" s="54"/>
      <c r="G8" s="150"/>
      <c r="I8" s="317"/>
      <c r="J8" s="318"/>
      <c r="K8" s="318"/>
      <c r="L8" s="318"/>
      <c r="M8" s="318"/>
      <c r="N8" s="318"/>
      <c r="O8" s="318"/>
      <c r="P8" s="319"/>
    </row>
    <row r="9" spans="1:16" ht="30" customHeight="1">
      <c r="A9" s="151" t="s">
        <v>221</v>
      </c>
      <c r="B9" s="23"/>
      <c r="C9" s="145">
        <f>'Development Costs'!C31</f>
        <v>251362</v>
      </c>
      <c r="D9" s="53"/>
      <c r="E9" s="53">
        <f t="shared" si="0"/>
        <v>251362</v>
      </c>
      <c r="F9" s="54"/>
      <c r="G9" s="150"/>
      <c r="I9" s="317"/>
      <c r="J9" s="318"/>
      <c r="K9" s="318"/>
      <c r="L9" s="318"/>
      <c r="M9" s="318"/>
      <c r="N9" s="318"/>
      <c r="O9" s="318"/>
      <c r="P9" s="319"/>
    </row>
    <row r="10" spans="1:16">
      <c r="A10" s="103" t="s">
        <v>222</v>
      </c>
      <c r="B10" s="23"/>
      <c r="C10" s="145">
        <f>'Development Costs'!C39</f>
        <v>3617.62</v>
      </c>
      <c r="D10" s="53"/>
      <c r="E10" s="53">
        <f t="shared" si="0"/>
        <v>3617.62</v>
      </c>
      <c r="F10" s="54"/>
      <c r="G10" s="150"/>
      <c r="I10" s="317"/>
      <c r="J10" s="318"/>
      <c r="K10" s="318"/>
      <c r="L10" s="318"/>
      <c r="M10" s="318"/>
      <c r="N10" s="318"/>
      <c r="O10" s="318"/>
      <c r="P10" s="319"/>
    </row>
    <row r="11" spans="1:16">
      <c r="A11" s="103" t="s">
        <v>223</v>
      </c>
      <c r="B11" s="23"/>
      <c r="C11" s="145">
        <f>'Development Costs'!C46</f>
        <v>10000</v>
      </c>
      <c r="D11" s="53"/>
      <c r="E11" s="53">
        <f t="shared" si="0"/>
        <v>10000</v>
      </c>
      <c r="F11" s="54"/>
      <c r="G11" s="150"/>
      <c r="I11" s="317"/>
      <c r="J11" s="318"/>
      <c r="K11" s="318"/>
      <c r="L11" s="318"/>
      <c r="M11" s="318"/>
      <c r="N11" s="318"/>
      <c r="O11" s="318"/>
      <c r="P11" s="319"/>
    </row>
    <row r="12" spans="1:16">
      <c r="A12" s="103" t="s">
        <v>224</v>
      </c>
      <c r="B12" s="23"/>
      <c r="C12" s="145">
        <f>'Development Costs'!C57</f>
        <v>19500</v>
      </c>
      <c r="D12" s="53"/>
      <c r="E12" s="53">
        <f t="shared" si="0"/>
        <v>19500</v>
      </c>
      <c r="F12" s="54"/>
      <c r="G12" s="150"/>
      <c r="I12" s="317"/>
      <c r="J12" s="318"/>
      <c r="K12" s="318"/>
      <c r="L12" s="318"/>
      <c r="M12" s="318"/>
      <c r="N12" s="318"/>
      <c r="O12" s="318"/>
      <c r="P12" s="319"/>
    </row>
    <row r="13" spans="1:16">
      <c r="A13" s="103" t="s">
        <v>225</v>
      </c>
      <c r="B13" s="23"/>
      <c r="C13" s="145">
        <f>'Development Costs'!C62</f>
        <v>144000</v>
      </c>
      <c r="D13" s="53"/>
      <c r="E13" s="53">
        <f t="shared" si="0"/>
        <v>144000</v>
      </c>
      <c r="F13" s="54"/>
      <c r="G13" s="150"/>
      <c r="I13" s="317"/>
      <c r="J13" s="318"/>
      <c r="K13" s="318"/>
      <c r="L13" s="318"/>
      <c r="M13" s="318"/>
      <c r="N13" s="318"/>
      <c r="O13" s="318"/>
      <c r="P13" s="319"/>
    </row>
    <row r="14" spans="1:16">
      <c r="A14" s="103" t="s">
        <v>226</v>
      </c>
      <c r="B14" s="23"/>
      <c r="C14" s="145">
        <f>'Development Costs'!C69</f>
        <v>76000</v>
      </c>
      <c r="D14" s="53"/>
      <c r="E14" s="53">
        <f>+C14-D14</f>
        <v>76000</v>
      </c>
      <c r="F14" s="54"/>
      <c r="G14" s="150"/>
      <c r="I14" s="317"/>
      <c r="J14" s="318"/>
      <c r="K14" s="318"/>
      <c r="L14" s="318"/>
      <c r="M14" s="318"/>
      <c r="N14" s="318"/>
      <c r="O14" s="318"/>
      <c r="P14" s="319"/>
    </row>
    <row r="15" spans="1:16" ht="16.149999999999999" thickBot="1">
      <c r="A15" s="152" t="s">
        <v>227</v>
      </c>
      <c r="B15" s="153"/>
      <c r="C15" s="154">
        <f>SUM(C6:C14)</f>
        <v>3974479.62</v>
      </c>
      <c r="D15" s="154">
        <f>SUM(D6:D14)</f>
        <v>0</v>
      </c>
      <c r="E15" s="154">
        <f>SUM(E6:E14)</f>
        <v>3974479.62</v>
      </c>
      <c r="F15" s="153"/>
      <c r="G15" s="155"/>
      <c r="I15" s="320"/>
      <c r="J15" s="321"/>
      <c r="K15" s="321"/>
      <c r="L15" s="321"/>
      <c r="M15" s="321"/>
      <c r="N15" s="321"/>
      <c r="O15" s="321"/>
      <c r="P15" s="322"/>
    </row>
    <row r="16" spans="1:16">
      <c r="C16" s="55">
        <f>+D15+E15</f>
        <v>3974479.62</v>
      </c>
      <c r="D16" s="55"/>
      <c r="E16" s="55"/>
    </row>
    <row r="17" spans="3:7">
      <c r="C17" s="31">
        <f>+'Development Costs'!C70</f>
        <v>3974479.62</v>
      </c>
      <c r="G17" s="6"/>
    </row>
  </sheetData>
  <mergeCells count="3">
    <mergeCell ref="C2:E2"/>
    <mergeCell ref="I1:P1"/>
    <mergeCell ref="I2:P15"/>
  </mergeCells>
  <phoneticPr fontId="3" type="noConversion"/>
  <pageMargins left="0.7" right="0.7" top="0.75" bottom="0.75" header="0.3" footer="0.3"/>
  <pageSetup scale="71"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Z49"/>
  <sheetViews>
    <sheetView workbookViewId="0">
      <selection activeCell="B8" sqref="B8"/>
    </sheetView>
  </sheetViews>
  <sheetFormatPr defaultColWidth="7.109375" defaultRowHeight="15"/>
  <cols>
    <col min="1" max="1" width="23.77734375" style="11" customWidth="1"/>
    <col min="2" max="2" width="11.5546875" style="11" customWidth="1"/>
    <col min="3" max="3" width="9.77734375" style="11" customWidth="1"/>
    <col min="4" max="18" width="12.21875" style="11" customWidth="1"/>
    <col min="19" max="19" width="5.5546875" style="11" customWidth="1"/>
    <col min="20" max="20" width="10.77734375" style="11" customWidth="1"/>
    <col min="21" max="22" width="11" style="11" customWidth="1"/>
    <col min="23" max="24" width="10.77734375" style="11" customWidth="1"/>
    <col min="25" max="25" width="9.44140625" style="11" customWidth="1"/>
    <col min="26" max="26" width="10.44140625" style="11" customWidth="1"/>
    <col min="27" max="16384" width="7.109375" style="11"/>
  </cols>
  <sheetData>
    <row r="1" spans="1:26" ht="15.6">
      <c r="A1" s="4" t="s">
        <v>4</v>
      </c>
      <c r="B1" s="60" t="str">
        <f>'Development Costs'!B1</f>
        <v>Sample</v>
      </c>
      <c r="T1" s="326" t="s">
        <v>6</v>
      </c>
      <c r="U1" s="327"/>
      <c r="V1" s="327"/>
      <c r="W1" s="327"/>
      <c r="X1" s="327"/>
      <c r="Y1" s="327"/>
      <c r="Z1" s="328"/>
    </row>
    <row r="2" spans="1:26" ht="15.75" customHeight="1">
      <c r="A2" s="4" t="s">
        <v>7</v>
      </c>
      <c r="B2" s="59">
        <f>'Development Costs'!B2</f>
        <v>44835</v>
      </c>
      <c r="D2" s="347"/>
      <c r="E2" s="347"/>
      <c r="F2" s="347"/>
      <c r="M2" s="25"/>
      <c r="T2" s="334" t="s">
        <v>228</v>
      </c>
      <c r="U2" s="335"/>
      <c r="V2" s="335"/>
      <c r="W2" s="335"/>
      <c r="X2" s="335"/>
      <c r="Y2" s="335"/>
      <c r="Z2" s="336"/>
    </row>
    <row r="3" spans="1:26" ht="15.6">
      <c r="B3" s="4"/>
      <c r="E3" s="47"/>
      <c r="H3" s="1"/>
      <c r="N3" s="181"/>
      <c r="T3" s="334"/>
      <c r="U3" s="335"/>
      <c r="V3" s="335"/>
      <c r="W3" s="335"/>
      <c r="X3" s="335"/>
      <c r="Y3" s="335"/>
      <c r="Z3" s="336"/>
    </row>
    <row r="4" spans="1:26" ht="25.15" thickBot="1">
      <c r="A4" s="57" t="s">
        <v>229</v>
      </c>
      <c r="B4" s="4"/>
      <c r="E4" s="23"/>
      <c r="H4" s="17"/>
      <c r="J4" s="3"/>
      <c r="N4" s="181"/>
      <c r="T4" s="334"/>
      <c r="U4" s="335"/>
      <c r="V4" s="335"/>
      <c r="W4" s="335"/>
      <c r="X4" s="335"/>
      <c r="Y4" s="335"/>
      <c r="Z4" s="336"/>
    </row>
    <row r="5" spans="1:26" ht="15.6">
      <c r="A5" s="157"/>
      <c r="B5" s="130"/>
      <c r="C5" s="130"/>
      <c r="D5" s="172" t="s">
        <v>230</v>
      </c>
      <c r="E5" s="172" t="s">
        <v>231</v>
      </c>
      <c r="F5" s="172" t="s">
        <v>232</v>
      </c>
      <c r="G5" s="172" t="s">
        <v>233</v>
      </c>
      <c r="H5" s="172" t="s">
        <v>234</v>
      </c>
      <c r="I5" s="172" t="s">
        <v>235</v>
      </c>
      <c r="J5" s="172" t="s">
        <v>236</v>
      </c>
      <c r="K5" s="172" t="s">
        <v>237</v>
      </c>
      <c r="L5" s="172" t="s">
        <v>238</v>
      </c>
      <c r="M5" s="158" t="s">
        <v>239</v>
      </c>
      <c r="N5" s="158" t="s">
        <v>240</v>
      </c>
      <c r="O5" s="158" t="s">
        <v>241</v>
      </c>
      <c r="P5" s="158" t="s">
        <v>242</v>
      </c>
      <c r="Q5" s="158" t="s">
        <v>243</v>
      </c>
      <c r="R5" s="159" t="s">
        <v>244</v>
      </c>
      <c r="T5" s="334"/>
      <c r="U5" s="335"/>
      <c r="V5" s="335"/>
      <c r="W5" s="335"/>
      <c r="X5" s="335"/>
      <c r="Y5" s="335"/>
      <c r="Z5" s="336"/>
    </row>
    <row r="6" spans="1:26" ht="23.65" customHeight="1">
      <c r="A6" s="114"/>
      <c r="C6" s="23"/>
      <c r="M6" s="29"/>
      <c r="N6" s="29"/>
      <c r="O6" s="29"/>
      <c r="P6" s="29"/>
      <c r="Q6" s="29"/>
      <c r="R6" s="160"/>
      <c r="T6" s="334"/>
      <c r="U6" s="335"/>
      <c r="V6" s="335"/>
      <c r="W6" s="335"/>
      <c r="X6" s="335"/>
      <c r="Y6" s="335"/>
      <c r="Z6" s="336"/>
    </row>
    <row r="7" spans="1:26">
      <c r="A7" s="114" t="s">
        <v>245</v>
      </c>
      <c r="C7" s="170">
        <v>0.02</v>
      </c>
      <c r="D7" s="29">
        <f>'Operating Pro Forma'!F23</f>
        <v>236544</v>
      </c>
      <c r="E7" s="29">
        <f>D7*(1+$C7)</f>
        <v>241274.88</v>
      </c>
      <c r="F7" s="29">
        <f>E7*(1+$C7)</f>
        <v>246100.37760000001</v>
      </c>
      <c r="G7" s="29">
        <f t="shared" ref="G7:M7" si="0">F7*(1+$C7)</f>
        <v>251022.385152</v>
      </c>
      <c r="H7" s="29">
        <f t="shared" si="0"/>
        <v>256042.83285504</v>
      </c>
      <c r="I7" s="29">
        <f t="shared" si="0"/>
        <v>261163.68951214082</v>
      </c>
      <c r="J7" s="29">
        <f t="shared" si="0"/>
        <v>266386.96330238366</v>
      </c>
      <c r="K7" s="29">
        <f t="shared" si="0"/>
        <v>271714.70256843133</v>
      </c>
      <c r="L7" s="29">
        <f t="shared" si="0"/>
        <v>277148.99661979993</v>
      </c>
      <c r="M7" s="29">
        <f t="shared" si="0"/>
        <v>282691.97655219596</v>
      </c>
      <c r="N7" s="29">
        <f>M7*(1+$C7)</f>
        <v>288345.81608323992</v>
      </c>
      <c r="O7" s="29">
        <f>N7*(1+$C7)</f>
        <v>294112.73240490473</v>
      </c>
      <c r="P7" s="29">
        <f>O7*(1+$C7)</f>
        <v>299994.98705300281</v>
      </c>
      <c r="Q7" s="29">
        <f>P7*(1+$C7)</f>
        <v>305994.88679406286</v>
      </c>
      <c r="R7" s="160">
        <f>Q7*(1+$C7)</f>
        <v>312114.78452994413</v>
      </c>
      <c r="T7" s="334"/>
      <c r="U7" s="335"/>
      <c r="V7" s="335"/>
      <c r="W7" s="335"/>
      <c r="X7" s="335"/>
      <c r="Y7" s="335"/>
      <c r="Z7" s="336"/>
    </row>
    <row r="8" spans="1:26">
      <c r="A8" s="114" t="s">
        <v>121</v>
      </c>
      <c r="B8" s="173">
        <f>'Operating Pro Forma'!$C$29</f>
        <v>7.0000000000000007E-2</v>
      </c>
      <c r="D8" s="29">
        <f>'Operating Pro Forma'!F29+0</f>
        <v>-16558.080000000002</v>
      </c>
      <c r="E8" s="29">
        <f>-(E7*'Operating Pro Forma'!$C$29)</f>
        <v>-16889.241600000001</v>
      </c>
      <c r="F8" s="29">
        <f>-(F7*'Operating Pro Forma'!$C$29)</f>
        <v>-17227.026432000002</v>
      </c>
      <c r="G8" s="29">
        <f>-(G7*'Operating Pro Forma'!$C$29)</f>
        <v>-17571.566960640001</v>
      </c>
      <c r="H8" s="29">
        <f>-(H7*'Operating Pro Forma'!$C$29)</f>
        <v>-17922.998299852803</v>
      </c>
      <c r="I8" s="29">
        <f>-(I7*'Operating Pro Forma'!$C$29)</f>
        <v>-18281.458265849858</v>
      </c>
      <c r="J8" s="29">
        <f>-(J7*'Operating Pro Forma'!$C$29)</f>
        <v>-18647.087431166859</v>
      </c>
      <c r="K8" s="29">
        <f>-(K7*'Operating Pro Forma'!$C$29)</f>
        <v>-19020.029179790195</v>
      </c>
      <c r="L8" s="29">
        <f>-(L7*'Operating Pro Forma'!$C$29)</f>
        <v>-19400.429763385997</v>
      </c>
      <c r="M8" s="29">
        <f>-(M7*'Operating Pro Forma'!$C$29)</f>
        <v>-19788.438358653719</v>
      </c>
      <c r="N8" s="29">
        <f>-(N7*'Operating Pro Forma'!$C$29)</f>
        <v>-20184.207125826797</v>
      </c>
      <c r="O8" s="29">
        <f>-(O7*'Operating Pro Forma'!$C$29)</f>
        <v>-20587.891268343334</v>
      </c>
      <c r="P8" s="29">
        <f>-(P7*'Operating Pro Forma'!$C$29)</f>
        <v>-20999.649093710199</v>
      </c>
      <c r="Q8" s="29">
        <f>-(Q7*'Operating Pro Forma'!$C$29)</f>
        <v>-21419.642075584401</v>
      </c>
      <c r="R8" s="160">
        <f>-(R7*'Operating Pro Forma'!$C$29)</f>
        <v>-21848.034917096091</v>
      </c>
      <c r="T8" s="334"/>
      <c r="U8" s="335"/>
      <c r="V8" s="335"/>
      <c r="W8" s="335"/>
      <c r="X8" s="335"/>
      <c r="Y8" s="335"/>
      <c r="Z8" s="336"/>
    </row>
    <row r="9" spans="1:26">
      <c r="A9" s="114" t="s">
        <v>246</v>
      </c>
      <c r="C9" s="171">
        <v>0.02</v>
      </c>
      <c r="D9" s="31">
        <f>('Operating Pro Forma'!F25+'Operating Pro Forma'!F26+'Operating Pro Forma'!F27)</f>
        <v>0</v>
      </c>
      <c r="E9" s="31">
        <f>D9*(1+$C9)</f>
        <v>0</v>
      </c>
      <c r="F9" s="31">
        <f t="shared" ref="F9:M9" si="1">E9*(1+$C9)</f>
        <v>0</v>
      </c>
      <c r="G9" s="31">
        <f t="shared" si="1"/>
        <v>0</v>
      </c>
      <c r="H9" s="31">
        <f t="shared" si="1"/>
        <v>0</v>
      </c>
      <c r="I9" s="31">
        <f t="shared" si="1"/>
        <v>0</v>
      </c>
      <c r="J9" s="31">
        <f t="shared" si="1"/>
        <v>0</v>
      </c>
      <c r="K9" s="31">
        <f t="shared" si="1"/>
        <v>0</v>
      </c>
      <c r="L9" s="31">
        <f t="shared" si="1"/>
        <v>0</v>
      </c>
      <c r="M9" s="29">
        <f t="shared" si="1"/>
        <v>0</v>
      </c>
      <c r="N9" s="29">
        <f>M9*(1+$C9)</f>
        <v>0</v>
      </c>
      <c r="O9" s="29">
        <f>N9*(1+$C9)</f>
        <v>0</v>
      </c>
      <c r="P9" s="29">
        <f>O9*(1+$C9)</f>
        <v>0</v>
      </c>
      <c r="Q9" s="29">
        <f>P9*(1+$C9)</f>
        <v>0</v>
      </c>
      <c r="R9" s="160">
        <f>Q9*(1+$C9)</f>
        <v>0</v>
      </c>
      <c r="T9" s="334"/>
      <c r="U9" s="335"/>
      <c r="V9" s="335"/>
      <c r="W9" s="335"/>
      <c r="X9" s="335"/>
      <c r="Y9" s="335"/>
      <c r="Z9" s="336"/>
    </row>
    <row r="10" spans="1:26">
      <c r="A10" s="114" t="s">
        <v>247</v>
      </c>
      <c r="C10" s="23"/>
      <c r="D10" s="29">
        <f>'Operating Pro Forma'!F30+0</f>
        <v>219985.91999999998</v>
      </c>
      <c r="E10" s="29">
        <f t="shared" ref="E10:M10" si="2">E7+E8+E9</f>
        <v>224385.6384</v>
      </c>
      <c r="F10" s="29">
        <f t="shared" si="2"/>
        <v>228873.35116799999</v>
      </c>
      <c r="G10" s="29">
        <f t="shared" si="2"/>
        <v>233450.81819136001</v>
      </c>
      <c r="H10" s="29">
        <f t="shared" si="2"/>
        <v>238119.8345551872</v>
      </c>
      <c r="I10" s="29">
        <f t="shared" si="2"/>
        <v>242882.23124629096</v>
      </c>
      <c r="J10" s="29">
        <f t="shared" si="2"/>
        <v>247739.87587121682</v>
      </c>
      <c r="K10" s="29">
        <f t="shared" si="2"/>
        <v>252694.67338864112</v>
      </c>
      <c r="L10" s="29">
        <f t="shared" si="2"/>
        <v>257748.56685641393</v>
      </c>
      <c r="M10" s="29">
        <f t="shared" si="2"/>
        <v>262903.53819354222</v>
      </c>
      <c r="N10" s="29">
        <f>N7+N8+N9</f>
        <v>268161.60895741312</v>
      </c>
      <c r="O10" s="29">
        <f>O7+O8+O9</f>
        <v>273524.84113656142</v>
      </c>
      <c r="P10" s="29">
        <f>P7+P8+P9</f>
        <v>278995.33795929264</v>
      </c>
      <c r="Q10" s="29">
        <f>Q7+Q8+Q9</f>
        <v>284575.24471847847</v>
      </c>
      <c r="R10" s="160">
        <f>R7+R8+R9</f>
        <v>290266.74961284804</v>
      </c>
      <c r="T10" s="334"/>
      <c r="U10" s="335"/>
      <c r="V10" s="335"/>
      <c r="W10" s="335"/>
      <c r="X10" s="335"/>
      <c r="Y10" s="335"/>
      <c r="Z10" s="336"/>
    </row>
    <row r="11" spans="1:26">
      <c r="A11" s="114" t="s">
        <v>248</v>
      </c>
      <c r="C11" s="170">
        <v>0.03</v>
      </c>
      <c r="D11" s="29">
        <f>-'Operating Pro Forma'!H34</f>
        <v>-59500</v>
      </c>
      <c r="E11" s="29">
        <f>D11*(1+$C11)</f>
        <v>-61285</v>
      </c>
      <c r="F11" s="29">
        <f t="shared" ref="F11:M11" si="3">E11*(1+$C11)</f>
        <v>-63123.55</v>
      </c>
      <c r="G11" s="29">
        <f t="shared" si="3"/>
        <v>-65017.256500000003</v>
      </c>
      <c r="H11" s="29">
        <f t="shared" si="3"/>
        <v>-66967.774195000005</v>
      </c>
      <c r="I11" s="29">
        <f t="shared" si="3"/>
        <v>-68976.807420850004</v>
      </c>
      <c r="J11" s="29">
        <f t="shared" si="3"/>
        <v>-71046.111643475509</v>
      </c>
      <c r="K11" s="29">
        <f t="shared" si="3"/>
        <v>-73177.494992779772</v>
      </c>
      <c r="L11" s="29">
        <f t="shared" si="3"/>
        <v>-75372.819842563171</v>
      </c>
      <c r="M11" s="29">
        <f t="shared" si="3"/>
        <v>-77634.004437840063</v>
      </c>
      <c r="N11" s="29">
        <f>M11*(1+$C11)</f>
        <v>-79963.024570975263</v>
      </c>
      <c r="O11" s="29">
        <f>N11*(1+$C11)</f>
        <v>-82361.915308104522</v>
      </c>
      <c r="P11" s="29">
        <f>O11*(1+$C11)</f>
        <v>-84832.772767347662</v>
      </c>
      <c r="Q11" s="29">
        <f>P11*(1+$C11)</f>
        <v>-87377.755950368097</v>
      </c>
      <c r="R11" s="160">
        <f>Q11*(1+$C11)</f>
        <v>-89999.088628879137</v>
      </c>
      <c r="T11" s="334"/>
      <c r="U11" s="335"/>
      <c r="V11" s="335"/>
      <c r="W11" s="335"/>
      <c r="X11" s="335"/>
      <c r="Y11" s="335"/>
      <c r="Z11" s="336"/>
    </row>
    <row r="12" spans="1:26">
      <c r="A12" s="114" t="s">
        <v>132</v>
      </c>
      <c r="D12" s="31">
        <f t="shared" ref="D12:M12" si="4">D10+D11</f>
        <v>160485.91999999998</v>
      </c>
      <c r="E12" s="31">
        <f t="shared" si="4"/>
        <v>163100.6384</v>
      </c>
      <c r="F12" s="31">
        <f t="shared" si="4"/>
        <v>165749.80116799998</v>
      </c>
      <c r="G12" s="31">
        <f t="shared" si="4"/>
        <v>168433.56169136002</v>
      </c>
      <c r="H12" s="31">
        <f t="shared" si="4"/>
        <v>171152.0603601872</v>
      </c>
      <c r="I12" s="31">
        <f t="shared" si="4"/>
        <v>173905.42382544096</v>
      </c>
      <c r="J12" s="31">
        <f t="shared" si="4"/>
        <v>176693.76422774131</v>
      </c>
      <c r="K12" s="31">
        <f t="shared" si="4"/>
        <v>179517.17839586135</v>
      </c>
      <c r="L12" s="31">
        <f t="shared" si="4"/>
        <v>182375.74701385078</v>
      </c>
      <c r="M12" s="29">
        <f t="shared" si="4"/>
        <v>185269.53375570214</v>
      </c>
      <c r="N12" s="29">
        <f>N10+N11</f>
        <v>188198.58438643784</v>
      </c>
      <c r="O12" s="29">
        <f>O10+O11</f>
        <v>191162.92582845688</v>
      </c>
      <c r="P12" s="29">
        <f>P10+P11</f>
        <v>194162.56519194497</v>
      </c>
      <c r="Q12" s="29">
        <f>Q10+Q11</f>
        <v>197197.48876811037</v>
      </c>
      <c r="R12" s="160">
        <f>R10+R11</f>
        <v>200267.6609839689</v>
      </c>
      <c r="T12" s="334"/>
      <c r="U12" s="335"/>
      <c r="V12" s="335"/>
      <c r="W12" s="335"/>
      <c r="X12" s="335"/>
      <c r="Y12" s="335"/>
      <c r="Z12" s="336"/>
    </row>
    <row r="13" spans="1:26">
      <c r="A13" s="114" t="s">
        <v>249</v>
      </c>
      <c r="C13" s="23"/>
      <c r="D13" s="29">
        <f>IF('Permanent Financing Sources'!$D$12&gt;0,'Permanent Financing Sources'!$D$13,0)+IF('Permanent Financing Sources'!$D$20&gt;0,'Permanent Financing Sources'!$D$21,0)+IF('Permanent Financing Sources'!$D$28&gt;0,'Permanent Financing Sources'!$D$29,0)</f>
        <v>-139227.25426837237</v>
      </c>
      <c r="E13" s="29">
        <f>IF('Permanent Financing Sources'!$D$12&gt;1,'Permanent Financing Sources'!$D$13,0)+IF('Permanent Financing Sources'!$D$20&gt;1,'Permanent Financing Sources'!$D$21,0)+IF('Permanent Financing Sources'!$D$28&gt;1,'Permanent Financing Sources'!$D$29,0)</f>
        <v>-139227.25426837237</v>
      </c>
      <c r="F13" s="29">
        <f>IF('Permanent Financing Sources'!$D$12&gt;2,'Permanent Financing Sources'!$D$13,0)+IF('Permanent Financing Sources'!$D$20&gt;2,'Permanent Financing Sources'!$D$21,0)+IF('Permanent Financing Sources'!$D$28&gt;2,'Permanent Financing Sources'!$D$29,0)</f>
        <v>-139227.25426837237</v>
      </c>
      <c r="G13" s="29">
        <f>IF('Permanent Financing Sources'!$D$12&gt;3,'Permanent Financing Sources'!$D$13,0)+IF('Permanent Financing Sources'!$D$20&gt;3,'Permanent Financing Sources'!$D$21,0)+IF('Permanent Financing Sources'!$D$28&gt;3,'Permanent Financing Sources'!$D$29,0)</f>
        <v>-139227.25426837237</v>
      </c>
      <c r="H13" s="29">
        <f>IF('Permanent Financing Sources'!$D$12&gt;4,'Permanent Financing Sources'!$D$13,0)+IF('Permanent Financing Sources'!$D$20&gt;4,'Permanent Financing Sources'!$D$21,0)+IF('Permanent Financing Sources'!$D$28&gt;4,'Permanent Financing Sources'!$D$29,0)</f>
        <v>-139227.25426837237</v>
      </c>
      <c r="I13" s="29">
        <f>IF('Permanent Financing Sources'!$D$12&gt;5,'Permanent Financing Sources'!$D$13,0)+IF('Permanent Financing Sources'!$D$20&gt;5,'Permanent Financing Sources'!$D$21,0)+IF('Permanent Financing Sources'!$D$28&gt;5,'Permanent Financing Sources'!$D$29,0)</f>
        <v>-139227.25426837237</v>
      </c>
      <c r="J13" s="29">
        <f>IF('Permanent Financing Sources'!$D$12&gt;6,'Permanent Financing Sources'!$D$13,0)+IF('Permanent Financing Sources'!$D$20&gt;6,'Permanent Financing Sources'!$D$21,0)+IF('Permanent Financing Sources'!$D$28&gt;6,'Permanent Financing Sources'!$D$29,0)</f>
        <v>-139227.25426837237</v>
      </c>
      <c r="K13" s="29">
        <f>IF('Permanent Financing Sources'!$D$12&gt;7,'Permanent Financing Sources'!$D$13,0)+IF('Permanent Financing Sources'!$D$20&gt;7,'Permanent Financing Sources'!$D$21,0)+IF('Permanent Financing Sources'!$D$28&gt;7,'Permanent Financing Sources'!$D$29,0)</f>
        <v>-139227.25426837237</v>
      </c>
      <c r="L13" s="29">
        <f>IF('Permanent Financing Sources'!$D$12&gt;8,'Permanent Financing Sources'!$D$13,0)+IF('Permanent Financing Sources'!$D$20&gt;8,'Permanent Financing Sources'!$D$21,0)+IF('Permanent Financing Sources'!$D$28&gt;8,'Permanent Financing Sources'!$D$29,0)</f>
        <v>-139227.25426837237</v>
      </c>
      <c r="M13" s="29">
        <f>IF('Permanent Financing Sources'!$D$12&gt;9,'Permanent Financing Sources'!$D$13,0)+IF('Permanent Financing Sources'!$D$20&gt;9,'Permanent Financing Sources'!$D$21,0)+IF('Permanent Financing Sources'!$D$28&gt;9,'Permanent Financing Sources'!$D$29,0)</f>
        <v>-139227.25426837237</v>
      </c>
      <c r="N13" s="29">
        <f>IF('Permanent Financing Sources'!$D$12&gt;9,'Permanent Financing Sources'!$D$13,0)+IF('Permanent Financing Sources'!$D$20&gt;9,'Permanent Financing Sources'!$D$21,0)+IF('Permanent Financing Sources'!$D$28&gt;9,'Permanent Financing Sources'!$D$29,0)</f>
        <v>-139227.25426837237</v>
      </c>
      <c r="O13" s="29">
        <f>IF('Permanent Financing Sources'!$D$12&gt;9,'Permanent Financing Sources'!$D$13,0)+IF('Permanent Financing Sources'!$D$20&gt;9,'Permanent Financing Sources'!$D$21,0)+IF('Permanent Financing Sources'!$D$28&gt;9,'Permanent Financing Sources'!$D$29,0)</f>
        <v>-139227.25426837237</v>
      </c>
      <c r="P13" s="29">
        <f>IF('Permanent Financing Sources'!$D$12&gt;9,'Permanent Financing Sources'!$D$13,0)+IF('Permanent Financing Sources'!$D$20&gt;9,'Permanent Financing Sources'!$D$21,0)+IF('Permanent Financing Sources'!$D$28&gt;9,'Permanent Financing Sources'!$D$29,0)</f>
        <v>-139227.25426837237</v>
      </c>
      <c r="Q13" s="29">
        <f>IF('Permanent Financing Sources'!$D$12&gt;9,'Permanent Financing Sources'!$D$13,0)+IF('Permanent Financing Sources'!$D$20&gt;9,'Permanent Financing Sources'!$D$21,0)+IF('Permanent Financing Sources'!$D$28&gt;9,'Permanent Financing Sources'!$D$29,0)</f>
        <v>-139227.25426837237</v>
      </c>
      <c r="R13" s="160">
        <f>IF('Permanent Financing Sources'!$D$12&gt;9,'Permanent Financing Sources'!$D$13,0)+IF('Permanent Financing Sources'!$D$20&gt;9,'Permanent Financing Sources'!$D$21,0)+IF('Permanent Financing Sources'!$D$28&gt;9,'Permanent Financing Sources'!$D$29,0)</f>
        <v>-139227.25426837237</v>
      </c>
      <c r="T13" s="334"/>
      <c r="U13" s="335"/>
      <c r="V13" s="335"/>
      <c r="W13" s="335"/>
      <c r="X13" s="335"/>
      <c r="Y13" s="335"/>
      <c r="Z13" s="336"/>
    </row>
    <row r="14" spans="1:26" ht="15.6" thickBot="1">
      <c r="A14" s="114" t="s">
        <v>250</v>
      </c>
      <c r="D14" s="168">
        <v>0</v>
      </c>
      <c r="E14" s="169">
        <v>0</v>
      </c>
      <c r="F14" s="169">
        <v>0</v>
      </c>
      <c r="G14" s="169">
        <v>0</v>
      </c>
      <c r="H14" s="169">
        <v>0</v>
      </c>
      <c r="I14" s="169">
        <v>0</v>
      </c>
      <c r="J14" s="169">
        <v>0</v>
      </c>
      <c r="K14" s="169">
        <v>0</v>
      </c>
      <c r="L14" s="169">
        <v>0</v>
      </c>
      <c r="M14" s="232">
        <v>0</v>
      </c>
      <c r="N14" s="166">
        <v>0</v>
      </c>
      <c r="O14" s="235">
        <v>0</v>
      </c>
      <c r="P14" s="166">
        <v>0</v>
      </c>
      <c r="Q14" s="166">
        <v>0</v>
      </c>
      <c r="R14" s="174">
        <v>0</v>
      </c>
      <c r="T14" s="337"/>
      <c r="U14" s="338"/>
      <c r="V14" s="338"/>
      <c r="W14" s="338"/>
      <c r="X14" s="338"/>
      <c r="Y14" s="338"/>
      <c r="Z14" s="339"/>
    </row>
    <row r="15" spans="1:26">
      <c r="A15" s="114" t="s">
        <v>251</v>
      </c>
      <c r="C15" s="23"/>
      <c r="D15" s="29">
        <f t="shared" ref="D15:M15" si="5">D12+D13-D14</f>
        <v>21258.665731627611</v>
      </c>
      <c r="E15" s="29">
        <f t="shared" si="5"/>
        <v>23873.384131627623</v>
      </c>
      <c r="F15" s="29">
        <f t="shared" si="5"/>
        <v>26522.546899627603</v>
      </c>
      <c r="G15" s="29">
        <f t="shared" si="5"/>
        <v>29206.307422987651</v>
      </c>
      <c r="H15" s="29">
        <f t="shared" si="5"/>
        <v>31924.806091814826</v>
      </c>
      <c r="I15" s="29">
        <f t="shared" si="5"/>
        <v>34678.169557068584</v>
      </c>
      <c r="J15" s="29">
        <f t="shared" si="5"/>
        <v>37466.509959368937</v>
      </c>
      <c r="K15" s="29">
        <f t="shared" si="5"/>
        <v>40289.924127488979</v>
      </c>
      <c r="L15" s="29">
        <f t="shared" si="5"/>
        <v>43148.492745478405</v>
      </c>
      <c r="M15" s="29">
        <f t="shared" si="5"/>
        <v>46042.279487329768</v>
      </c>
      <c r="N15" s="29">
        <f>N12+N13-N14</f>
        <v>48971.330118065467</v>
      </c>
      <c r="O15" s="29">
        <f>O12+O13-O14</f>
        <v>51935.671560084505</v>
      </c>
      <c r="P15" s="29">
        <f>P12+P13-P14</f>
        <v>54935.310923572601</v>
      </c>
      <c r="Q15" s="29">
        <f>Q12+Q13-Q14</f>
        <v>57970.234499737999</v>
      </c>
      <c r="R15" s="160">
        <f>R12+R13-R14</f>
        <v>61040.406715596531</v>
      </c>
      <c r="T15"/>
      <c r="U15"/>
      <c r="V15"/>
      <c r="W15"/>
      <c r="X15"/>
      <c r="Y15"/>
      <c r="Z15"/>
    </row>
    <row r="16" spans="1:26">
      <c r="A16" s="114" t="s">
        <v>252</v>
      </c>
      <c r="C16" s="23"/>
      <c r="D16" s="175">
        <f>(D12)/-D13</f>
        <v>1.1526904042124519</v>
      </c>
      <c r="E16" s="175">
        <f t="shared" ref="E16:M16" si="6">(E12)/-E13</f>
        <v>1.1714706237444692</v>
      </c>
      <c r="F16" s="175">
        <f t="shared" si="6"/>
        <v>1.1904982400105595</v>
      </c>
      <c r="G16" s="175">
        <f t="shared" si="6"/>
        <v>1.2097743547157083</v>
      </c>
      <c r="H16" s="175">
        <f t="shared" si="6"/>
        <v>1.2292999762121075</v>
      </c>
      <c r="I16" s="175">
        <f t="shared" si="6"/>
        <v>1.2490760141704975</v>
      </c>
      <c r="J16" s="175">
        <f t="shared" si="6"/>
        <v>1.2691032740410799</v>
      </c>
      <c r="K16" s="175">
        <f t="shared" si="6"/>
        <v>1.2893824512966887</v>
      </c>
      <c r="L16" s="175">
        <f t="shared" si="6"/>
        <v>1.3099141254506537</v>
      </c>
      <c r="M16" s="156">
        <f t="shared" si="6"/>
        <v>1.3306987538415385</v>
      </c>
      <c r="N16" s="56">
        <f>(N12)/-N13</f>
        <v>1.3517366651766978</v>
      </c>
      <c r="O16" s="56">
        <f>(O12)/-O13</f>
        <v>1.3730280528263099</v>
      </c>
      <c r="P16" s="56">
        <f>(P12)/-P13</f>
        <v>1.3945729678592966</v>
      </c>
      <c r="Q16" s="56">
        <f>(Q12)/-Q13</f>
        <v>1.4163713118122365</v>
      </c>
      <c r="R16" s="161">
        <f>(R12)/-R13</f>
        <v>1.438422829182108</v>
      </c>
      <c r="S16" s="31"/>
      <c r="T16"/>
      <c r="U16"/>
      <c r="V16"/>
      <c r="W16"/>
      <c r="X16"/>
      <c r="Y16"/>
      <c r="Z16"/>
    </row>
    <row r="17" spans="1:26">
      <c r="A17" s="114"/>
      <c r="C17" s="23"/>
      <c r="D17" s="176"/>
      <c r="E17" s="176"/>
      <c r="F17" s="176"/>
      <c r="G17" s="176"/>
      <c r="H17" s="176"/>
      <c r="I17" s="176"/>
      <c r="J17" s="176"/>
      <c r="K17" s="176"/>
      <c r="L17" s="176"/>
      <c r="M17" s="30"/>
      <c r="N17" s="30"/>
      <c r="O17" s="30"/>
      <c r="P17" s="30"/>
      <c r="Q17" s="30"/>
      <c r="R17" s="162"/>
      <c r="T17"/>
      <c r="U17"/>
      <c r="V17"/>
      <c r="W17"/>
      <c r="X17"/>
      <c r="Y17"/>
      <c r="Z17"/>
    </row>
    <row r="18" spans="1:26">
      <c r="A18" s="114"/>
      <c r="C18" s="23"/>
      <c r="D18" s="176"/>
      <c r="E18" s="176"/>
      <c r="F18" s="176"/>
      <c r="G18" s="176"/>
      <c r="H18" s="176"/>
      <c r="I18" s="176"/>
      <c r="J18" s="176"/>
      <c r="K18" s="176"/>
      <c r="L18" s="176"/>
      <c r="M18" s="30"/>
      <c r="N18" s="30"/>
      <c r="O18" s="30"/>
      <c r="P18" s="30"/>
      <c r="Q18" s="30"/>
      <c r="R18" s="162"/>
      <c r="T18"/>
      <c r="U18"/>
      <c r="V18"/>
      <c r="W18"/>
      <c r="X18"/>
      <c r="Y18"/>
      <c r="Z18"/>
    </row>
    <row r="19" spans="1:26" ht="15.6">
      <c r="A19" s="69" t="s">
        <v>253</v>
      </c>
      <c r="M19" s="29"/>
      <c r="N19" s="29"/>
      <c r="O19" s="29"/>
      <c r="P19" s="29"/>
      <c r="Q19" s="29"/>
      <c r="R19" s="160"/>
      <c r="T19"/>
      <c r="U19"/>
      <c r="V19"/>
      <c r="W19"/>
      <c r="X19"/>
      <c r="Y19"/>
      <c r="Z19"/>
    </row>
    <row r="20" spans="1:26">
      <c r="A20" s="114" t="s">
        <v>254</v>
      </c>
      <c r="D20" s="167">
        <v>20000</v>
      </c>
      <c r="E20" s="167">
        <v>20000</v>
      </c>
      <c r="F20" s="167">
        <v>11000</v>
      </c>
      <c r="G20" s="167">
        <v>0</v>
      </c>
      <c r="H20" s="167">
        <v>0</v>
      </c>
      <c r="I20" s="167">
        <v>0</v>
      </c>
      <c r="J20" s="167">
        <v>0</v>
      </c>
      <c r="K20" s="167">
        <v>0</v>
      </c>
      <c r="L20" s="167">
        <v>0</v>
      </c>
      <c r="M20" s="233">
        <v>0</v>
      </c>
      <c r="N20" s="165">
        <v>0</v>
      </c>
      <c r="O20" s="236">
        <v>0</v>
      </c>
      <c r="P20" s="165">
        <v>0</v>
      </c>
      <c r="Q20" s="165">
        <v>0</v>
      </c>
      <c r="R20" s="177">
        <v>0</v>
      </c>
      <c r="T20"/>
      <c r="U20"/>
      <c r="V20"/>
      <c r="W20"/>
      <c r="X20"/>
      <c r="Y20"/>
      <c r="Z20"/>
    </row>
    <row r="21" spans="1:26">
      <c r="A21" s="114" t="s">
        <v>255</v>
      </c>
      <c r="D21" s="167">
        <v>0</v>
      </c>
      <c r="E21" s="167">
        <v>0</v>
      </c>
      <c r="F21" s="167">
        <v>0</v>
      </c>
      <c r="G21" s="167">
        <v>0</v>
      </c>
      <c r="H21" s="167">
        <v>0</v>
      </c>
      <c r="I21" s="167">
        <v>0</v>
      </c>
      <c r="J21" s="167">
        <v>0</v>
      </c>
      <c r="K21" s="167">
        <v>0</v>
      </c>
      <c r="L21" s="167">
        <v>0</v>
      </c>
      <c r="M21" s="233">
        <v>0</v>
      </c>
      <c r="N21" s="165">
        <v>0</v>
      </c>
      <c r="O21" s="236">
        <v>0</v>
      </c>
      <c r="P21" s="165">
        <v>0</v>
      </c>
      <c r="Q21" s="165">
        <v>0</v>
      </c>
      <c r="R21" s="177">
        <v>0</v>
      </c>
      <c r="T21"/>
      <c r="U21"/>
      <c r="V21"/>
      <c r="W21"/>
      <c r="X21"/>
      <c r="Y21"/>
      <c r="Z21"/>
    </row>
    <row r="22" spans="1:26">
      <c r="A22" s="114" t="s">
        <v>256</v>
      </c>
      <c r="D22" s="167">
        <v>0</v>
      </c>
      <c r="E22" s="167">
        <v>0</v>
      </c>
      <c r="F22" s="167">
        <v>0</v>
      </c>
      <c r="G22" s="167">
        <v>0</v>
      </c>
      <c r="H22" s="167">
        <v>0</v>
      </c>
      <c r="I22" s="167">
        <v>0</v>
      </c>
      <c r="J22" s="167">
        <v>0</v>
      </c>
      <c r="K22" s="167">
        <v>0</v>
      </c>
      <c r="L22" s="167">
        <v>0</v>
      </c>
      <c r="M22" s="233">
        <v>0</v>
      </c>
      <c r="N22" s="165">
        <v>0</v>
      </c>
      <c r="O22" s="236">
        <v>0</v>
      </c>
      <c r="P22" s="165">
        <v>0</v>
      </c>
      <c r="Q22" s="165">
        <v>0</v>
      </c>
      <c r="R22" s="177">
        <v>0</v>
      </c>
      <c r="T22"/>
      <c r="U22"/>
      <c r="V22"/>
      <c r="W22"/>
      <c r="X22"/>
      <c r="Y22"/>
      <c r="Z22"/>
    </row>
    <row r="23" spans="1:26">
      <c r="A23" s="114" t="s">
        <v>257</v>
      </c>
      <c r="D23" s="167">
        <v>0</v>
      </c>
      <c r="E23" s="167">
        <v>0</v>
      </c>
      <c r="F23" s="167">
        <v>0</v>
      </c>
      <c r="G23" s="167">
        <v>0</v>
      </c>
      <c r="H23" s="167">
        <v>0</v>
      </c>
      <c r="I23" s="167">
        <v>0</v>
      </c>
      <c r="J23" s="167">
        <v>0</v>
      </c>
      <c r="K23" s="167">
        <v>0</v>
      </c>
      <c r="L23" s="167">
        <v>0</v>
      </c>
      <c r="M23" s="233">
        <v>0</v>
      </c>
      <c r="N23" s="165">
        <v>0</v>
      </c>
      <c r="O23" s="236">
        <v>0</v>
      </c>
      <c r="P23" s="165">
        <v>0</v>
      </c>
      <c r="Q23" s="165">
        <v>0</v>
      </c>
      <c r="R23" s="177">
        <v>0</v>
      </c>
      <c r="T23"/>
      <c r="U23"/>
      <c r="V23"/>
      <c r="W23"/>
      <c r="X23"/>
      <c r="Y23"/>
      <c r="Z23"/>
    </row>
    <row r="24" spans="1:26" ht="15.6" thickBot="1">
      <c r="A24" s="163" t="s">
        <v>258</v>
      </c>
      <c r="B24" s="164"/>
      <c r="C24" s="164"/>
      <c r="D24" s="178">
        <v>0</v>
      </c>
      <c r="E24" s="178">
        <v>0</v>
      </c>
      <c r="F24" s="178">
        <v>0</v>
      </c>
      <c r="G24" s="178">
        <v>0</v>
      </c>
      <c r="H24" s="178">
        <v>0</v>
      </c>
      <c r="I24" s="178">
        <v>0</v>
      </c>
      <c r="J24" s="178">
        <v>0</v>
      </c>
      <c r="K24" s="178">
        <v>0</v>
      </c>
      <c r="L24" s="178">
        <v>0</v>
      </c>
      <c r="M24" s="234">
        <v>0</v>
      </c>
      <c r="N24" s="180">
        <v>0</v>
      </c>
      <c r="O24" s="237">
        <v>0</v>
      </c>
      <c r="P24" s="180">
        <v>0</v>
      </c>
      <c r="Q24" s="180">
        <v>0</v>
      </c>
      <c r="R24" s="179">
        <v>0</v>
      </c>
      <c r="T24"/>
      <c r="U24"/>
      <c r="V24"/>
      <c r="W24"/>
      <c r="X24"/>
      <c r="Y24"/>
      <c r="Z24"/>
    </row>
    <row r="25" spans="1:26">
      <c r="A25" s="9"/>
      <c r="M25" s="29"/>
      <c r="N25" s="29"/>
      <c r="T25"/>
      <c r="U25"/>
      <c r="V25"/>
      <c r="W25"/>
      <c r="X25"/>
      <c r="Y25"/>
      <c r="Z25"/>
    </row>
    <row r="26" spans="1:26">
      <c r="A26" s="11" t="s">
        <v>259</v>
      </c>
      <c r="B26" s="31">
        <f>SUM(D15:M15)</f>
        <v>334411.08615441999</v>
      </c>
      <c r="S26" s="23"/>
      <c r="T26" s="23"/>
      <c r="U26" s="23"/>
      <c r="V26" s="23"/>
      <c r="W26" s="23"/>
      <c r="X26" s="23"/>
    </row>
    <row r="27" spans="1:26">
      <c r="A27" s="11" t="s">
        <v>260</v>
      </c>
      <c r="B27" s="31">
        <f>SUM(N15:R15)+B26</f>
        <v>609264.03997147712</v>
      </c>
      <c r="C27"/>
      <c r="D27"/>
      <c r="S27" s="23"/>
      <c r="T27" s="23"/>
      <c r="U27" s="23"/>
      <c r="V27" s="23"/>
      <c r="W27" s="23"/>
      <c r="X27" s="23"/>
    </row>
    <row r="28" spans="1:26">
      <c r="C28"/>
      <c r="D28"/>
      <c r="S28" s="23"/>
      <c r="T28" s="23"/>
      <c r="U28" s="23"/>
      <c r="V28" s="23"/>
      <c r="W28" s="23"/>
      <c r="X28" s="23"/>
    </row>
    <row r="29" spans="1:26">
      <c r="B29"/>
      <c r="C29"/>
      <c r="D29"/>
      <c r="S29" s="23"/>
      <c r="T29" s="23"/>
      <c r="U29" s="23"/>
      <c r="V29" s="23"/>
      <c r="W29" s="23"/>
      <c r="X29" s="23"/>
    </row>
    <row r="30" spans="1:26">
      <c r="A30"/>
      <c r="B30"/>
      <c r="C30"/>
      <c r="D30"/>
      <c r="S30" s="23"/>
      <c r="T30" s="23"/>
      <c r="U30" s="23"/>
      <c r="V30" s="23"/>
      <c r="W30" s="23"/>
      <c r="X30" s="23"/>
    </row>
    <row r="31" spans="1:26">
      <c r="A31"/>
      <c r="B31"/>
      <c r="C31"/>
      <c r="D31"/>
      <c r="S31" s="23"/>
      <c r="T31" s="23"/>
      <c r="U31" s="23"/>
      <c r="V31" s="23"/>
      <c r="W31" s="23"/>
      <c r="X31" s="23"/>
    </row>
    <row r="32" spans="1:26">
      <c r="A32"/>
      <c r="B32"/>
      <c r="C32"/>
      <c r="D32"/>
      <c r="S32" s="23"/>
      <c r="T32" s="23"/>
      <c r="U32" s="23"/>
      <c r="V32" s="23"/>
      <c r="W32" s="23"/>
      <c r="X32" s="23"/>
    </row>
    <row r="33" spans="1:24">
      <c r="A33"/>
      <c r="B33"/>
      <c r="C33"/>
      <c r="D33"/>
      <c r="S33" s="23"/>
      <c r="T33" s="23"/>
      <c r="U33" s="23"/>
      <c r="V33" s="23"/>
      <c r="W33" s="23"/>
      <c r="X33" s="23"/>
    </row>
    <row r="34" spans="1:24">
      <c r="A34"/>
      <c r="B34"/>
      <c r="C34"/>
      <c r="D34"/>
      <c r="S34" s="23"/>
      <c r="T34" s="23"/>
      <c r="U34" s="23"/>
      <c r="V34" s="23"/>
      <c r="W34" s="23"/>
      <c r="X34" s="23"/>
    </row>
    <row r="35" spans="1:24">
      <c r="A35"/>
      <c r="B35"/>
      <c r="C35"/>
      <c r="D35"/>
      <c r="S35" s="23"/>
      <c r="T35" s="23"/>
      <c r="U35" s="23"/>
      <c r="V35" s="23"/>
      <c r="W35" s="23"/>
      <c r="X35" s="23"/>
    </row>
    <row r="36" spans="1:24">
      <c r="A36"/>
      <c r="B36"/>
      <c r="C36"/>
      <c r="D36"/>
      <c r="S36" s="23"/>
      <c r="T36" s="23"/>
      <c r="U36" s="23"/>
      <c r="V36" s="23"/>
      <c r="W36" s="23"/>
      <c r="X36" s="23"/>
    </row>
    <row r="37" spans="1:24">
      <c r="A37"/>
      <c r="B37"/>
      <c r="C37"/>
      <c r="D37"/>
      <c r="S37" s="23"/>
      <c r="T37" s="23"/>
      <c r="U37" s="23"/>
      <c r="V37" s="23"/>
      <c r="W37" s="23"/>
      <c r="X37" s="23"/>
    </row>
    <row r="38" spans="1:24">
      <c r="A38"/>
      <c r="B38"/>
      <c r="C38"/>
      <c r="D38"/>
      <c r="S38" s="23"/>
      <c r="T38" s="23"/>
      <c r="U38" s="23"/>
      <c r="V38" s="23"/>
      <c r="W38" s="23"/>
      <c r="X38" s="23"/>
    </row>
    <row r="39" spans="1:24">
      <c r="A39"/>
      <c r="B39"/>
      <c r="C39"/>
      <c r="D39"/>
      <c r="S39" s="23"/>
      <c r="T39" s="23"/>
      <c r="U39" s="23"/>
      <c r="V39" s="23"/>
      <c r="W39" s="23"/>
      <c r="X39" s="23"/>
    </row>
    <row r="40" spans="1:24">
      <c r="A40"/>
      <c r="B40"/>
      <c r="C40"/>
      <c r="D40"/>
      <c r="S40" s="23"/>
      <c r="T40" s="23"/>
      <c r="U40" s="23"/>
      <c r="V40" s="23"/>
      <c r="W40" s="23"/>
      <c r="X40" s="23"/>
    </row>
    <row r="41" spans="1:24">
      <c r="A41"/>
      <c r="B41"/>
      <c r="C41"/>
      <c r="D41"/>
      <c r="S41" s="23"/>
      <c r="T41" s="23"/>
      <c r="U41" s="23"/>
      <c r="V41" s="23"/>
      <c r="W41" s="23"/>
      <c r="X41" s="23"/>
    </row>
    <row r="42" spans="1:24">
      <c r="A42"/>
      <c r="B42"/>
      <c r="C42"/>
      <c r="D42"/>
      <c r="J42" s="23"/>
      <c r="K42" s="23"/>
      <c r="L42" s="23"/>
      <c r="M42" s="23"/>
      <c r="S42" s="23"/>
      <c r="T42" s="23"/>
      <c r="U42" s="23"/>
      <c r="V42" s="23"/>
      <c r="W42" s="23"/>
      <c r="X42" s="23"/>
    </row>
    <row r="43" spans="1:24">
      <c r="A43"/>
      <c r="B43"/>
      <c r="C43"/>
      <c r="D43"/>
      <c r="S43" s="23"/>
      <c r="T43" s="23"/>
      <c r="U43" s="23"/>
      <c r="V43" s="23"/>
      <c r="W43" s="23"/>
      <c r="X43" s="23"/>
    </row>
    <row r="44" spans="1:24">
      <c r="A44"/>
      <c r="B44"/>
      <c r="C44"/>
      <c r="D44"/>
      <c r="N44" s="23"/>
      <c r="O44" s="23"/>
      <c r="P44" s="23"/>
      <c r="Q44" s="23"/>
      <c r="R44" s="23"/>
      <c r="S44" s="23"/>
      <c r="T44" s="23"/>
      <c r="U44" s="23"/>
      <c r="V44" s="23"/>
      <c r="W44" s="23"/>
      <c r="X44" s="23"/>
    </row>
    <row r="45" spans="1:24">
      <c r="A45"/>
      <c r="B45"/>
      <c r="C45"/>
      <c r="D45"/>
      <c r="S45" s="23"/>
      <c r="T45" s="23"/>
      <c r="U45" s="23"/>
      <c r="V45" s="23"/>
      <c r="W45" s="23"/>
      <c r="X45" s="23"/>
    </row>
    <row r="46" spans="1:24">
      <c r="A46"/>
      <c r="B46"/>
      <c r="C46"/>
      <c r="D46"/>
      <c r="S46" s="23"/>
      <c r="T46" s="23"/>
      <c r="U46" s="23"/>
      <c r="V46" s="23"/>
      <c r="W46" s="23"/>
      <c r="X46" s="23"/>
    </row>
    <row r="47" spans="1:24">
      <c r="A47"/>
      <c r="B47"/>
      <c r="C47"/>
      <c r="D47"/>
      <c r="S47" s="23"/>
    </row>
    <row r="48" spans="1:24">
      <c r="A48"/>
      <c r="B48"/>
      <c r="C48"/>
      <c r="D48"/>
      <c r="S48" s="23"/>
    </row>
    <row r="49" spans="1:4">
      <c r="A49"/>
      <c r="B49"/>
      <c r="C49"/>
      <c r="D49"/>
    </row>
  </sheetData>
  <mergeCells count="3">
    <mergeCell ref="T1:Z1"/>
    <mergeCell ref="D2:F2"/>
    <mergeCell ref="T2:Z14"/>
  </mergeCells>
  <phoneticPr fontId="3" type="noConversion"/>
  <pageMargins left="0.75" right="0.75" top="0.75" bottom="0.8" header="0.5" footer="0.5"/>
  <pageSetup scale="6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5AF28-DDCE-4094-841E-C580EA6FF7B4}">
  <sheetPr>
    <tabColor rgb="FFFF0000"/>
  </sheetPr>
  <dimension ref="A1:E66"/>
  <sheetViews>
    <sheetView topLeftCell="A24" workbookViewId="0">
      <selection activeCell="A37" sqref="A37"/>
    </sheetView>
  </sheetViews>
  <sheetFormatPr defaultColWidth="8.77734375" defaultRowHeight="15"/>
  <cols>
    <col min="1" max="1" width="39.44140625" style="239" bestFit="1" customWidth="1"/>
    <col min="2" max="2" width="80.5546875" style="238" customWidth="1"/>
    <col min="3" max="4" width="8.77734375" style="239"/>
    <col min="5" max="5" width="9.21875" customWidth="1"/>
    <col min="6" max="16384" width="8.77734375" style="239"/>
  </cols>
  <sheetData>
    <row r="1" spans="1:2" ht="15.6" thickTop="1">
      <c r="A1" s="240" t="s">
        <v>10</v>
      </c>
      <c r="B1" s="241" t="s">
        <v>261</v>
      </c>
    </row>
    <row r="2" spans="1:2">
      <c r="A2" s="242" t="s">
        <v>15</v>
      </c>
      <c r="B2" s="243"/>
    </row>
    <row r="3" spans="1:2">
      <c r="A3" s="244" t="s">
        <v>17</v>
      </c>
      <c r="B3" s="245" t="s">
        <v>262</v>
      </c>
    </row>
    <row r="4" spans="1:2">
      <c r="A4" s="246" t="s">
        <v>19</v>
      </c>
      <c r="B4" s="245" t="s">
        <v>263</v>
      </c>
    </row>
    <row r="5" spans="1:2">
      <c r="A5" s="247" t="s">
        <v>21</v>
      </c>
      <c r="B5" s="248" t="s">
        <v>264</v>
      </c>
    </row>
    <row r="6" spans="1:2">
      <c r="A6" s="242" t="s">
        <v>22</v>
      </c>
      <c r="B6" s="243"/>
    </row>
    <row r="7" spans="1:2" ht="39.6">
      <c r="A7" s="246" t="s">
        <v>23</v>
      </c>
      <c r="B7" s="245" t="s">
        <v>265</v>
      </c>
    </row>
    <row r="8" spans="1:2" ht="39.6">
      <c r="A8" s="246" t="s">
        <v>24</v>
      </c>
      <c r="B8" s="245" t="s">
        <v>266</v>
      </c>
    </row>
    <row r="9" spans="1:2" ht="26.45">
      <c r="A9" s="244" t="s">
        <v>25</v>
      </c>
      <c r="B9" s="245" t="s">
        <v>267</v>
      </c>
    </row>
    <row r="10" spans="1:2">
      <c r="A10" s="247" t="s">
        <v>21</v>
      </c>
      <c r="B10" s="248" t="s">
        <v>268</v>
      </c>
    </row>
    <row r="11" spans="1:2">
      <c r="A11" s="242" t="s">
        <v>26</v>
      </c>
      <c r="B11" s="243"/>
    </row>
    <row r="12" spans="1:2" ht="26.45">
      <c r="A12" s="246" t="s">
        <v>27</v>
      </c>
      <c r="B12" s="245" t="s">
        <v>269</v>
      </c>
    </row>
    <row r="13" spans="1:2" ht="52.9">
      <c r="A13" s="246" t="s">
        <v>270</v>
      </c>
      <c r="B13" s="245" t="s">
        <v>271</v>
      </c>
    </row>
    <row r="14" spans="1:2" ht="26.45">
      <c r="A14" s="244" t="s">
        <v>272</v>
      </c>
      <c r="B14" s="245" t="s">
        <v>273</v>
      </c>
    </row>
    <row r="15" spans="1:2" ht="39.6">
      <c r="A15" s="244" t="s">
        <v>274</v>
      </c>
      <c r="B15" s="245" t="s">
        <v>275</v>
      </c>
    </row>
    <row r="16" spans="1:2" ht="39.6">
      <c r="A16" s="244" t="s">
        <v>276</v>
      </c>
      <c r="B16" s="245" t="s">
        <v>277</v>
      </c>
    </row>
    <row r="17" spans="1:2">
      <c r="A17" s="251" t="s">
        <v>278</v>
      </c>
      <c r="B17" s="250" t="s">
        <v>279</v>
      </c>
    </row>
    <row r="18" spans="1:2" ht="26.45">
      <c r="A18" s="247" t="s">
        <v>21</v>
      </c>
      <c r="B18" s="248" t="s">
        <v>280</v>
      </c>
    </row>
    <row r="19" spans="1:2">
      <c r="A19" s="242" t="s">
        <v>34</v>
      </c>
      <c r="B19" s="243"/>
    </row>
    <row r="20" spans="1:2">
      <c r="A20" s="246" t="s">
        <v>35</v>
      </c>
      <c r="B20" s="245" t="s">
        <v>281</v>
      </c>
    </row>
    <row r="21" spans="1:2">
      <c r="A21" s="246" t="s">
        <v>36</v>
      </c>
      <c r="B21" s="245" t="s">
        <v>282</v>
      </c>
    </row>
    <row r="22" spans="1:2" ht="26.45">
      <c r="A22" s="244" t="s">
        <v>37</v>
      </c>
      <c r="B22" s="245" t="s">
        <v>283</v>
      </c>
    </row>
    <row r="23" spans="1:2">
      <c r="A23" s="244" t="s">
        <v>284</v>
      </c>
      <c r="B23" s="245" t="s">
        <v>285</v>
      </c>
    </row>
    <row r="24" spans="1:2">
      <c r="A24" s="246" t="s">
        <v>39</v>
      </c>
      <c r="B24" s="245" t="s">
        <v>286</v>
      </c>
    </row>
    <row r="25" spans="1:2" ht="26.45">
      <c r="A25" s="244" t="s">
        <v>40</v>
      </c>
      <c r="B25" s="245" t="s">
        <v>287</v>
      </c>
    </row>
    <row r="26" spans="1:2">
      <c r="A26" s="251" t="s">
        <v>278</v>
      </c>
      <c r="B26" s="250" t="s">
        <v>288</v>
      </c>
    </row>
    <row r="27" spans="1:2">
      <c r="A27" s="247" t="s">
        <v>21</v>
      </c>
      <c r="B27" s="248" t="s">
        <v>289</v>
      </c>
    </row>
    <row r="28" spans="1:2">
      <c r="A28" s="242" t="s">
        <v>42</v>
      </c>
      <c r="B28" s="243"/>
    </row>
    <row r="29" spans="1:2" ht="39.6">
      <c r="A29" s="246" t="s">
        <v>43</v>
      </c>
      <c r="B29" s="245" t="s">
        <v>290</v>
      </c>
    </row>
    <row r="30" spans="1:2" ht="26.45">
      <c r="A30" s="246" t="s">
        <v>44</v>
      </c>
      <c r="B30" s="245" t="s">
        <v>291</v>
      </c>
    </row>
    <row r="31" spans="1:2" ht="26.45">
      <c r="A31" s="246" t="s">
        <v>45</v>
      </c>
      <c r="B31" s="245" t="s">
        <v>292</v>
      </c>
    </row>
    <row r="32" spans="1:2">
      <c r="A32" s="244" t="s">
        <v>46</v>
      </c>
      <c r="B32" s="245" t="s">
        <v>293</v>
      </c>
    </row>
    <row r="33" spans="1:2" ht="26.45">
      <c r="A33" s="244" t="s">
        <v>47</v>
      </c>
      <c r="B33" s="245" t="s">
        <v>294</v>
      </c>
    </row>
    <row r="34" spans="1:2">
      <c r="A34" s="249" t="s">
        <v>278</v>
      </c>
      <c r="B34" s="250" t="s">
        <v>295</v>
      </c>
    </row>
    <row r="35" spans="1:2">
      <c r="A35" s="247" t="s">
        <v>21</v>
      </c>
      <c r="B35" s="248" t="s">
        <v>296</v>
      </c>
    </row>
    <row r="36" spans="1:2">
      <c r="A36" s="242" t="s">
        <v>48</v>
      </c>
      <c r="B36" s="243"/>
    </row>
    <row r="37" spans="1:2" ht="39.6">
      <c r="A37" s="246" t="s">
        <v>49</v>
      </c>
      <c r="B37" s="245" t="s">
        <v>297</v>
      </c>
    </row>
    <row r="38" spans="1:2">
      <c r="A38" s="311" t="s">
        <v>50</v>
      </c>
      <c r="B38" s="245" t="s">
        <v>298</v>
      </c>
    </row>
    <row r="39" spans="1:2">
      <c r="A39" s="252" t="s">
        <v>46</v>
      </c>
      <c r="B39" s="245" t="s">
        <v>299</v>
      </c>
    </row>
    <row r="40" spans="1:2" ht="26.45">
      <c r="A40" s="252" t="s">
        <v>47</v>
      </c>
      <c r="B40" s="245" t="s">
        <v>300</v>
      </c>
    </row>
    <row r="41" spans="1:2">
      <c r="A41" s="249" t="s">
        <v>278</v>
      </c>
      <c r="B41" s="250" t="s">
        <v>301</v>
      </c>
    </row>
    <row r="42" spans="1:2">
      <c r="A42" s="247" t="s">
        <v>21</v>
      </c>
      <c r="B42" s="248" t="s">
        <v>302</v>
      </c>
    </row>
    <row r="43" spans="1:2">
      <c r="A43" s="242" t="s">
        <v>51</v>
      </c>
      <c r="B43" s="243"/>
    </row>
    <row r="44" spans="1:2" ht="26.45">
      <c r="A44" s="246" t="s">
        <v>52</v>
      </c>
      <c r="B44" s="245" t="s">
        <v>303</v>
      </c>
    </row>
    <row r="45" spans="1:2" ht="26.45">
      <c r="A45" s="252" t="s">
        <v>53</v>
      </c>
      <c r="B45" s="245" t="s">
        <v>304</v>
      </c>
    </row>
    <row r="46" spans="1:2" ht="26.45">
      <c r="A46" s="252" t="s">
        <v>54</v>
      </c>
      <c r="B46" s="245" t="s">
        <v>305</v>
      </c>
    </row>
    <row r="47" spans="1:2" ht="26.45">
      <c r="A47" s="252" t="s">
        <v>306</v>
      </c>
      <c r="B47" s="245" t="s">
        <v>307</v>
      </c>
    </row>
    <row r="48" spans="1:2" ht="26.45">
      <c r="A48" s="252" t="s">
        <v>308</v>
      </c>
      <c r="B48" s="245" t="s">
        <v>309</v>
      </c>
    </row>
    <row r="49" spans="1:2">
      <c r="A49" s="252" t="s">
        <v>58</v>
      </c>
      <c r="B49" s="245" t="s">
        <v>310</v>
      </c>
    </row>
    <row r="50" spans="1:2" ht="39.6">
      <c r="A50" s="253" t="s">
        <v>59</v>
      </c>
      <c r="B50" s="245" t="s">
        <v>311</v>
      </c>
    </row>
    <row r="51" spans="1:2">
      <c r="A51" s="251" t="s">
        <v>278</v>
      </c>
      <c r="B51" s="250" t="s">
        <v>312</v>
      </c>
    </row>
    <row r="52" spans="1:2">
      <c r="A52" s="254" t="s">
        <v>21</v>
      </c>
      <c r="B52" s="248" t="s">
        <v>313</v>
      </c>
    </row>
    <row r="53" spans="1:2">
      <c r="A53" s="242" t="s">
        <v>60</v>
      </c>
      <c r="B53" s="243"/>
    </row>
    <row r="54" spans="1:2" ht="26.45">
      <c r="A54" s="253" t="s">
        <v>61</v>
      </c>
      <c r="B54" s="245" t="s">
        <v>314</v>
      </c>
    </row>
    <row r="55" spans="1:2" ht="39.6">
      <c r="A55" s="253" t="s">
        <v>62</v>
      </c>
      <c r="B55" s="245" t="s">
        <v>315</v>
      </c>
    </row>
    <row r="56" spans="1:2">
      <c r="A56" s="252" t="s">
        <v>316</v>
      </c>
      <c r="B56" s="245" t="s">
        <v>317</v>
      </c>
    </row>
    <row r="57" spans="1:2">
      <c r="A57" s="254" t="s">
        <v>64</v>
      </c>
      <c r="B57" s="248" t="s">
        <v>318</v>
      </c>
    </row>
    <row r="58" spans="1:2">
      <c r="A58" s="242" t="s">
        <v>66</v>
      </c>
      <c r="B58" s="243"/>
    </row>
    <row r="59" spans="1:2" ht="26.45">
      <c r="A59" s="252" t="s">
        <v>67</v>
      </c>
      <c r="B59" s="255" t="s">
        <v>319</v>
      </c>
    </row>
    <row r="60" spans="1:2" ht="26.45">
      <c r="A60" s="252" t="s">
        <v>68</v>
      </c>
      <c r="B60" s="255" t="s">
        <v>320</v>
      </c>
    </row>
    <row r="61" spans="1:2">
      <c r="A61" s="252" t="s">
        <v>70</v>
      </c>
      <c r="B61" s="245" t="s">
        <v>321</v>
      </c>
    </row>
    <row r="62" spans="1:2">
      <c r="A62" s="252" t="s">
        <v>71</v>
      </c>
      <c r="B62" s="245" t="s">
        <v>322</v>
      </c>
    </row>
    <row r="63" spans="1:2">
      <c r="A63" s="251" t="s">
        <v>278</v>
      </c>
      <c r="B63" s="250" t="s">
        <v>323</v>
      </c>
    </row>
    <row r="64" spans="1:2">
      <c r="A64" s="254" t="s">
        <v>21</v>
      </c>
      <c r="B64" s="248" t="s">
        <v>324</v>
      </c>
    </row>
    <row r="65" spans="1:2" ht="15.6" thickBot="1">
      <c r="A65" s="242" t="s">
        <v>72</v>
      </c>
      <c r="B65" s="256" t="s">
        <v>325</v>
      </c>
    </row>
    <row r="66" spans="1:2" ht="15.6" thickTop="1">
      <c r="A66" s="257"/>
      <c r="B66" s="258"/>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CBD7E-C5B8-4717-ADBF-1EDE0FFCF1AC}">
  <sheetPr>
    <tabColor rgb="FFFF0000"/>
  </sheetPr>
  <dimension ref="A1:B40"/>
  <sheetViews>
    <sheetView workbookViewId="0">
      <selection activeCell="B2" sqref="B2"/>
    </sheetView>
  </sheetViews>
  <sheetFormatPr defaultColWidth="8.77734375" defaultRowHeight="13.15"/>
  <cols>
    <col min="1" max="1" width="32" style="265" bestFit="1" customWidth="1"/>
    <col min="2" max="2" width="72.5546875" style="238" customWidth="1"/>
    <col min="3" max="16384" width="8.77734375" style="239"/>
  </cols>
  <sheetData>
    <row r="1" spans="1:2">
      <c r="A1" s="259" t="s">
        <v>82</v>
      </c>
      <c r="B1" s="260" t="s">
        <v>326</v>
      </c>
    </row>
    <row r="2" spans="1:2">
      <c r="A2" s="261" t="s">
        <v>84</v>
      </c>
      <c r="B2" s="262" t="s">
        <v>327</v>
      </c>
    </row>
    <row r="3" spans="1:2">
      <c r="A3" s="261" t="s">
        <v>85</v>
      </c>
      <c r="B3" s="262" t="s">
        <v>328</v>
      </c>
    </row>
    <row r="4" spans="1:2" ht="26.45">
      <c r="A4" s="263" t="s">
        <v>329</v>
      </c>
      <c r="B4" s="262" t="s">
        <v>330</v>
      </c>
    </row>
    <row r="5" spans="1:2">
      <c r="A5" s="261" t="s">
        <v>87</v>
      </c>
      <c r="B5" s="262" t="s">
        <v>331</v>
      </c>
    </row>
    <row r="6" spans="1:2" ht="39.6">
      <c r="A6" s="261" t="s">
        <v>88</v>
      </c>
      <c r="B6" s="262" t="s">
        <v>332</v>
      </c>
    </row>
    <row r="7" spans="1:2">
      <c r="A7" s="264" t="s">
        <v>89</v>
      </c>
      <c r="B7" s="262" t="s">
        <v>333</v>
      </c>
    </row>
    <row r="8" spans="1:2" ht="13.9" thickBot="1"/>
    <row r="9" spans="1:2" ht="13.9" thickTop="1">
      <c r="A9" s="266" t="s">
        <v>83</v>
      </c>
      <c r="B9" s="267"/>
    </row>
    <row r="10" spans="1:2">
      <c r="A10" s="268" t="s">
        <v>90</v>
      </c>
      <c r="B10" s="269" t="s">
        <v>326</v>
      </c>
    </row>
    <row r="11" spans="1:2">
      <c r="A11" s="270" t="s">
        <v>91</v>
      </c>
      <c r="B11" s="271" t="s">
        <v>334</v>
      </c>
    </row>
    <row r="12" spans="1:2" ht="26.45">
      <c r="A12" s="272" t="s">
        <v>92</v>
      </c>
      <c r="B12" s="271" t="s">
        <v>335</v>
      </c>
    </row>
    <row r="13" spans="1:2">
      <c r="A13" s="270" t="s">
        <v>94</v>
      </c>
      <c r="B13" s="271" t="s">
        <v>336</v>
      </c>
    </row>
    <row r="14" spans="1:2">
      <c r="A14" s="270" t="s">
        <v>95</v>
      </c>
      <c r="B14" s="271" t="s">
        <v>337</v>
      </c>
    </row>
    <row r="15" spans="1:2">
      <c r="A15" s="270" t="s">
        <v>96</v>
      </c>
      <c r="B15" s="271" t="s">
        <v>338</v>
      </c>
    </row>
    <row r="16" spans="1:2">
      <c r="A16" s="270" t="s">
        <v>97</v>
      </c>
      <c r="B16" s="271" t="s">
        <v>339</v>
      </c>
    </row>
    <row r="17" spans="1:2">
      <c r="A17" s="270" t="s">
        <v>98</v>
      </c>
      <c r="B17" s="271" t="s">
        <v>340</v>
      </c>
    </row>
    <row r="18" spans="1:2">
      <c r="A18" s="314" t="s">
        <v>41</v>
      </c>
      <c r="B18" s="315" t="s">
        <v>341</v>
      </c>
    </row>
    <row r="19" spans="1:2">
      <c r="A19" s="273" t="s">
        <v>99</v>
      </c>
      <c r="B19" s="274" t="s">
        <v>342</v>
      </c>
    </row>
    <row r="20" spans="1:2">
      <c r="A20" s="268" t="s">
        <v>100</v>
      </c>
      <c r="B20" s="269"/>
    </row>
    <row r="21" spans="1:2" ht="39.6">
      <c r="A21" s="270" t="s">
        <v>101</v>
      </c>
      <c r="B21" s="271" t="s">
        <v>343</v>
      </c>
    </row>
    <row r="22" spans="1:2">
      <c r="A22" s="270" t="s">
        <v>103</v>
      </c>
      <c r="B22" s="271" t="s">
        <v>344</v>
      </c>
    </row>
    <row r="23" spans="1:2">
      <c r="A23" s="270" t="s">
        <v>41</v>
      </c>
      <c r="B23" s="271" t="s">
        <v>345</v>
      </c>
    </row>
    <row r="24" spans="1:2">
      <c r="A24" s="273" t="s">
        <v>104</v>
      </c>
      <c r="B24" s="274" t="s">
        <v>346</v>
      </c>
    </row>
    <row r="25" spans="1:2">
      <c r="A25" s="268" t="s">
        <v>105</v>
      </c>
      <c r="B25" s="269"/>
    </row>
    <row r="26" spans="1:2" ht="26.45">
      <c r="A26" s="272" t="s">
        <v>106</v>
      </c>
      <c r="B26" s="271" t="s">
        <v>347</v>
      </c>
    </row>
    <row r="27" spans="1:2">
      <c r="A27" s="272" t="s">
        <v>348</v>
      </c>
      <c r="B27" s="271" t="s">
        <v>349</v>
      </c>
    </row>
    <row r="28" spans="1:2">
      <c r="A28" s="270" t="s">
        <v>111</v>
      </c>
      <c r="B28" s="271" t="s">
        <v>350</v>
      </c>
    </row>
    <row r="29" spans="1:2" ht="26.45">
      <c r="A29" s="270" t="s">
        <v>113</v>
      </c>
      <c r="B29" s="271" t="s">
        <v>351</v>
      </c>
    </row>
    <row r="30" spans="1:2">
      <c r="A30" s="270" t="s">
        <v>41</v>
      </c>
      <c r="B30" s="271" t="s">
        <v>352</v>
      </c>
    </row>
    <row r="31" spans="1:2">
      <c r="A31" s="273" t="s">
        <v>117</v>
      </c>
      <c r="B31" s="274" t="s">
        <v>353</v>
      </c>
    </row>
    <row r="32" spans="1:2">
      <c r="A32" s="268" t="s">
        <v>119</v>
      </c>
      <c r="B32" s="269"/>
    </row>
    <row r="33" spans="1:2">
      <c r="A33" s="270" t="s">
        <v>122</v>
      </c>
      <c r="B33" s="271" t="s">
        <v>354</v>
      </c>
    </row>
    <row r="34" spans="1:2">
      <c r="A34" s="270" t="s">
        <v>124</v>
      </c>
      <c r="B34" s="271" t="s">
        <v>355</v>
      </c>
    </row>
    <row r="35" spans="1:2" ht="26.45">
      <c r="A35" s="270" t="s">
        <v>71</v>
      </c>
      <c r="B35" s="271" t="s">
        <v>356</v>
      </c>
    </row>
    <row r="36" spans="1:2">
      <c r="A36" s="270" t="s">
        <v>41</v>
      </c>
      <c r="B36" s="271" t="s">
        <v>357</v>
      </c>
    </row>
    <row r="37" spans="1:2">
      <c r="A37" s="273" t="s">
        <v>128</v>
      </c>
      <c r="B37" s="274" t="s">
        <v>358</v>
      </c>
    </row>
    <row r="38" spans="1:2">
      <c r="A38" s="268" t="s">
        <v>130</v>
      </c>
      <c r="B38" s="275" t="s">
        <v>359</v>
      </c>
    </row>
    <row r="39" spans="1:2">
      <c r="A39" s="276" t="s">
        <v>132</v>
      </c>
      <c r="B39" s="277" t="s">
        <v>360</v>
      </c>
    </row>
    <row r="40" spans="1:2" ht="26.45">
      <c r="A40" s="278" t="s">
        <v>134</v>
      </c>
      <c r="B40" s="274" t="s">
        <v>361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146C7-901D-4D19-B47B-B12EB5B164BE}">
  <sheetPr>
    <tabColor rgb="FFFF0000"/>
  </sheetPr>
  <dimension ref="A1:B25"/>
  <sheetViews>
    <sheetView workbookViewId="0">
      <selection activeCell="B13" sqref="B13"/>
    </sheetView>
  </sheetViews>
  <sheetFormatPr defaultColWidth="8.77734375" defaultRowHeight="13.15"/>
  <cols>
    <col min="1" max="1" width="35.77734375" style="279" bestFit="1" customWidth="1"/>
    <col min="2" max="2" width="58.5546875" style="238" customWidth="1"/>
    <col min="3" max="16384" width="8.77734375" style="239"/>
  </cols>
  <sheetData>
    <row r="1" spans="1:2" ht="13.9" thickTop="1">
      <c r="A1" s="280" t="s">
        <v>147</v>
      </c>
      <c r="B1" s="281"/>
    </row>
    <row r="2" spans="1:2">
      <c r="A2" s="282" t="s">
        <v>362</v>
      </c>
      <c r="B2" s="262" t="s">
        <v>363</v>
      </c>
    </row>
    <row r="3" spans="1:2">
      <c r="A3" s="283" t="s">
        <v>182</v>
      </c>
      <c r="B3" s="262" t="s">
        <v>328</v>
      </c>
    </row>
    <row r="4" spans="1:2" ht="26.45">
      <c r="A4" s="284" t="s">
        <v>173</v>
      </c>
      <c r="B4" s="262" t="s">
        <v>330</v>
      </c>
    </row>
    <row r="5" spans="1:2">
      <c r="A5" s="283" t="s">
        <v>157</v>
      </c>
      <c r="B5" s="262" t="s">
        <v>331</v>
      </c>
    </row>
    <row r="6" spans="1:2">
      <c r="A6" s="283" t="s">
        <v>161</v>
      </c>
      <c r="B6" s="262" t="s">
        <v>364</v>
      </c>
    </row>
    <row r="7" spans="1:2" ht="26.45">
      <c r="A7" s="284" t="s">
        <v>163</v>
      </c>
      <c r="B7" s="262" t="s">
        <v>365</v>
      </c>
    </row>
    <row r="8" spans="1:2" ht="39.6">
      <c r="A8" s="283" t="s">
        <v>165</v>
      </c>
      <c r="B8" s="262" t="s">
        <v>366</v>
      </c>
    </row>
    <row r="9" spans="1:2">
      <c r="A9" s="285" t="s">
        <v>188</v>
      </c>
      <c r="B9" s="262" t="s">
        <v>367</v>
      </c>
    </row>
    <row r="10" spans="1:2">
      <c r="A10" s="285" t="s">
        <v>193</v>
      </c>
      <c r="B10" s="262" t="s">
        <v>368</v>
      </c>
    </row>
    <row r="11" spans="1:2">
      <c r="A11" s="285" t="s">
        <v>199</v>
      </c>
      <c r="B11" s="262" t="s">
        <v>369</v>
      </c>
    </row>
    <row r="12" spans="1:2" ht="26.45">
      <c r="A12" s="285" t="s">
        <v>203</v>
      </c>
      <c r="B12" s="262" t="s">
        <v>370</v>
      </c>
    </row>
    <row r="13" spans="1:2" ht="52.9">
      <c r="A13" s="283" t="s">
        <v>371</v>
      </c>
      <c r="B13" s="262" t="s">
        <v>372</v>
      </c>
    </row>
    <row r="14" spans="1:2">
      <c r="A14" s="286" t="s">
        <v>176</v>
      </c>
      <c r="B14" s="262" t="s">
        <v>373</v>
      </c>
    </row>
    <row r="15" spans="1:2" ht="26.45">
      <c r="A15" s="287" t="s">
        <v>206</v>
      </c>
      <c r="B15" s="312" t="s">
        <v>374</v>
      </c>
    </row>
    <row r="16" spans="1:2" ht="13.9" thickBot="1"/>
    <row r="17" spans="1:2" ht="70.5" customHeight="1" thickTop="1">
      <c r="A17" s="280" t="s">
        <v>177</v>
      </c>
      <c r="B17" s="288" t="s">
        <v>375</v>
      </c>
    </row>
    <row r="18" spans="1:2" ht="39.6">
      <c r="A18" s="313" t="s">
        <v>178</v>
      </c>
      <c r="B18" s="290" t="s">
        <v>376</v>
      </c>
    </row>
    <row r="19" spans="1:2" ht="92.45">
      <c r="A19" s="289" t="s">
        <v>180</v>
      </c>
      <c r="B19" s="291" t="s">
        <v>377</v>
      </c>
    </row>
    <row r="20" spans="1:2" ht="39.6">
      <c r="A20" s="289" t="s">
        <v>183</v>
      </c>
      <c r="B20" s="290" t="s">
        <v>378</v>
      </c>
    </row>
    <row r="21" spans="1:2" ht="26.45">
      <c r="A21" s="289" t="s">
        <v>184</v>
      </c>
      <c r="B21" s="292" t="s">
        <v>379</v>
      </c>
    </row>
    <row r="22" spans="1:2" ht="26.45">
      <c r="A22" s="293" t="s">
        <v>185</v>
      </c>
      <c r="B22" s="294" t="s">
        <v>380</v>
      </c>
    </row>
    <row r="23" spans="1:2" ht="26.45">
      <c r="A23" s="295" t="s">
        <v>186</v>
      </c>
      <c r="B23" s="296" t="s">
        <v>381</v>
      </c>
    </row>
    <row r="24" spans="1:2" ht="26.45">
      <c r="A24" s="295" t="s">
        <v>184</v>
      </c>
      <c r="B24" s="292" t="s">
        <v>379</v>
      </c>
    </row>
    <row r="25" spans="1:2">
      <c r="A25" s="293" t="s">
        <v>185</v>
      </c>
      <c r="B25" s="294" t="s">
        <v>382</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SharedWithUsers xmlns="7652b877-6492-4932-b8d5-02c3bbf747e8">
      <UserInfo>
        <DisplayName>Torsell, Sarah</DisplayName>
        <AccountId>37</AccountId>
        <AccountType/>
      </UserInfo>
      <UserInfo>
        <DisplayName>Anderson, Susan</DisplayName>
        <AccountId>40</AccountId>
        <AccountType/>
      </UserInfo>
    </SharedWithUsers>
    <TaxCatchAll xmlns="7652b877-6492-4932-b8d5-02c3bbf747e8" xsi:nil="true"/>
    <lcf76f155ced4ddcb4097134ff3c332f xmlns="b080d6c7-46d5-49f7-9fa4-489bff70596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C6333E51E367443B4BBDD69418C2500" ma:contentTypeVersion="17" ma:contentTypeDescription="Create a new document." ma:contentTypeScope="" ma:versionID="f80c1e21c6c966b7bc9de40916d63d34">
  <xsd:schema xmlns:xsd="http://www.w3.org/2001/XMLSchema" xmlns:xs="http://www.w3.org/2001/XMLSchema" xmlns:p="http://schemas.microsoft.com/office/2006/metadata/properties" xmlns:ns2="b080d6c7-46d5-49f7-9fa4-489bff70596b" xmlns:ns3="7652b877-6492-4932-b8d5-02c3bbf747e8" targetNamespace="http://schemas.microsoft.com/office/2006/metadata/properties" ma:root="true" ma:fieldsID="efcc4cb93f13f4d87eb1115fdb6e9806" ns2:_="" ns3:_="">
    <xsd:import namespace="b080d6c7-46d5-49f7-9fa4-489bff70596b"/>
    <xsd:import namespace="7652b877-6492-4932-b8d5-02c3bbf747e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LengthInSeconds"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80d6c7-46d5-49f7-9fa4-489bff7059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e37fd66-c85f-4cdb-a613-a59591a4ba3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652b877-6492-4932-b8d5-02c3bbf747e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e747f140-3f4d-463e-b26b-c35450fd70c9}" ma:internalName="TaxCatchAll" ma:showField="CatchAllData" ma:web="7652b877-6492-4932-b8d5-02c3bbf747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9673E92-49CA-4D7D-B19E-91AB2AEB752E}"/>
</file>

<file path=customXml/itemProps2.xml><?xml version="1.0" encoding="utf-8"?>
<ds:datastoreItem xmlns:ds="http://schemas.openxmlformats.org/officeDocument/2006/customXml" ds:itemID="{90B46073-C7AA-4665-9640-C99181F744A6}"/>
</file>

<file path=customXml/itemProps3.xml><?xml version="1.0" encoding="utf-8"?>
<ds:datastoreItem xmlns:ds="http://schemas.openxmlformats.org/officeDocument/2006/customXml" ds:itemID="{F2225316-1B23-4973-9B7B-1DB1E344A669}"/>
</file>

<file path=customXml/itemProps4.xml><?xml version="1.0" encoding="utf-8"?>
<ds:datastoreItem xmlns:ds="http://schemas.openxmlformats.org/officeDocument/2006/customXml" ds:itemID="{E3A45D97-2F39-4FEC-BD85-71810967AC1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Watts, Ann</dc:creator>
  <cp:keywords/>
  <dc:description/>
  <cp:lastModifiedBy/>
  <cp:revision/>
  <dcterms:created xsi:type="dcterms:W3CDTF">2000-11-16T18:28:07Z</dcterms:created>
  <dcterms:modified xsi:type="dcterms:W3CDTF">2025-06-20T19:41:30Z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SharedWithUsers">
    <vt:lpwstr>Torsell, Sarah;Anderson, Susan</vt:lpwstr>
  </property>
  <property fmtid="{D5CDD505-2E9C-101B-9397-08002B2CF9AE}" pid="3" name="SharedWithUsers">
    <vt:lpwstr>37;#Torsell, Sarah;#40;#Anderson, Susan</vt:lpwstr>
  </property>
  <property fmtid="{D5CDD505-2E9C-101B-9397-08002B2CF9AE}" pid="4" name="ContentTypeId">
    <vt:lpwstr>0x010100EC6333E51E367443B4BBDD69418C2500</vt:lpwstr>
  </property>
</Properties>
</file>