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defaultThemeVersion="166925"/>
  <mc:AlternateContent xmlns:mc="http://schemas.openxmlformats.org/markup-compatibility/2006">
    <mc:Choice Requires="x15">
      <x15ac:absPath xmlns:x15ac="http://schemas.microsoft.com/office/spreadsheetml/2010/11/ac" url="https://d.docs.live.net/996782c61b624dc6/Documents/Heron/Active Projects - Heron/FBDI Curriculum/Tools/"/>
    </mc:Choice>
  </mc:AlternateContent>
  <xr:revisionPtr revIDLastSave="0" documentId="8_{775CC22A-AAEB-451C-9EDF-CAE96052B968}" xr6:coauthVersionLast="47" xr6:coauthVersionMax="47" xr10:uidLastSave="{00000000-0000-0000-0000-000000000000}"/>
  <bookViews>
    <workbookView xWindow="408" yWindow="0" windowWidth="17592" windowHeight="12336" xr2:uid="{C87622CC-B14B-4383-B157-5C2698335D43}"/>
  </bookViews>
  <sheets>
    <sheet name="About this Tool" sheetId="6" r:id="rId1"/>
    <sheet name="New Construction or Rehab" sheetId="2" r:id="rId2"/>
    <sheet name="Refinance and Rehab" sheetId="8" r:id="rId3"/>
    <sheet name="Definition of Terms"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l="1"/>
  <c r="F35" i="2"/>
  <c r="F21" i="2"/>
  <c r="F18" i="2"/>
  <c r="F13" i="2"/>
  <c r="F28" i="8"/>
  <c r="F36" i="8"/>
  <c r="F35" i="8"/>
  <c r="F21" i="8"/>
  <c r="F25" i="8"/>
  <c r="F12" i="8"/>
  <c r="F7" i="8"/>
  <c r="F9" i="8" s="1"/>
  <c r="F10" i="8" s="1"/>
  <c r="F15" i="8" s="1"/>
  <c r="F6" i="8"/>
  <c r="F18" i="8" s="1"/>
  <c r="F13" i="8" l="1"/>
  <c r="F19" i="8"/>
  <c r="B25" i="8" s="1"/>
  <c r="F31" i="8"/>
  <c r="F22" i="8" l="1"/>
  <c r="F32" i="8" l="1"/>
  <c r="F26" i="8"/>
  <c r="F29" i="8" l="1"/>
  <c r="F27" i="8"/>
  <c r="F25" i="2" l="1"/>
  <c r="F7" i="2"/>
  <c r="F6" i="2"/>
  <c r="F12" i="2" s="1"/>
  <c r="F19" i="2" l="1"/>
  <c r="B25" i="2" s="1"/>
  <c r="F28" i="2" s="1"/>
  <c r="F9" i="2"/>
  <c r="F10" i="2" s="1"/>
  <c r="F15" i="2" s="1"/>
  <c r="F36" i="2" l="1"/>
  <c r="F29" i="2"/>
  <c r="F31" i="2"/>
  <c r="F32" i="2" s="1"/>
  <c r="F22" i="2"/>
  <c r="F26" i="2"/>
</calcChain>
</file>

<file path=xl/sharedStrings.xml><?xml version="1.0" encoding="utf-8"?>
<sst xmlns="http://schemas.openxmlformats.org/spreadsheetml/2006/main" count="188" uniqueCount="97">
  <si>
    <t>ABOUT THIS TOOL</t>
  </si>
  <si>
    <t xml:space="preserve">This tool was created by Enterprise to support Faith Based Development.
It is intended to help houses of worship and their development partners do a back-of-the-envelope analysis for their development to assess basic project feasibility and think through sources of funding that may be needed beyond a loan. Because this tool does not contain an operating pro forma, it does not include estimates for returns on equity, which will be another key consideration for financial viability.
As with any back-of-the-envelope analysis process, it is intended to be a quick and simple tool that provides rough estimates based on a simple set of assumptions. It does not allow for a robust determination of financial feasibility or viability. It also does not contain sufficient information to be used in applications for funding or financing and should not be interpreted as providing advice from Enterprise on whether to pursue a development. </t>
  </si>
  <si>
    <t>HOW TO USE</t>
  </si>
  <si>
    <t xml:space="preserve">There are two versions of the calculator - one for new construction or acquisition/rehabilitation developments and one for those seeking to refinance and rehabilitate a property they already own and operate.
To use either tool, fill in the information in the green-shaded cells in the left-hand columns of the sheet. Calculated values are organized along the right-hand side of the sheet. These provide estimates of key indicators such as the estimated cash flow for a development and whether an expected loan amount will exceed the maximum loan allowed by the development's income. Adjust values as needed to achieve a solution that is feasible.
Once your project is farther along in the development process, a more robust financial feasibility assessment should be conducted using a more detailed model. </t>
  </si>
  <si>
    <t>Completed Property Characteristics</t>
  </si>
  <si>
    <t>Unit Types</t>
  </si>
  <si>
    <t># units</t>
  </si>
  <si>
    <t>Monthly Rent</t>
  </si>
  <si>
    <t>1-bedroom</t>
  </si>
  <si>
    <t>2-bedroom</t>
  </si>
  <si>
    <t>Total Units</t>
  </si>
  <si>
    <t>Total Potential Gross Rent</t>
  </si>
  <si>
    <t>Other Income</t>
  </si>
  <si>
    <t>Annual Vacancy Loss</t>
  </si>
  <si>
    <t>Average Annual Vacancy Rate</t>
  </si>
  <si>
    <t>Total Effective Gross Income</t>
  </si>
  <si>
    <t>Operating Expenses Per Unit Per Year</t>
  </si>
  <si>
    <t>Total Operating Expenses</t>
  </si>
  <si>
    <t>Replacement Reserves (enter per unit)</t>
  </si>
  <si>
    <t>Expense Ratio</t>
  </si>
  <si>
    <t>Net Operating Income</t>
  </si>
  <si>
    <t>Development Costs</t>
  </si>
  <si>
    <t>Acquisition Costs</t>
  </si>
  <si>
    <t>Hard Costs (per unit)</t>
  </si>
  <si>
    <t>Total Construction Cost</t>
  </si>
  <si>
    <t>Soft Costs (enter as % of the total acquisition and hard costs)</t>
  </si>
  <si>
    <t>Estimated Soft Costs</t>
  </si>
  <si>
    <t>Other Costs</t>
  </si>
  <si>
    <t>Total Development Cost</t>
  </si>
  <si>
    <t>Total Development Cost Per Unit</t>
  </si>
  <si>
    <t>Development Financing</t>
  </si>
  <si>
    <t xml:space="preserve">First Mortgage </t>
  </si>
  <si>
    <t>Loan Amount</t>
  </si>
  <si>
    <t>Debt Service Constant</t>
  </si>
  <si>
    <t>Term / Amortization (years)</t>
  </si>
  <si>
    <t>Loan to Cost (TDC) Ratio</t>
  </si>
  <si>
    <t>Interest Rate (including MIP if necessary)</t>
  </si>
  <si>
    <t>Actual DCR - Year 1 (First Mortgage Only)</t>
  </si>
  <si>
    <t>Debt Service Coverage Ratio</t>
  </si>
  <si>
    <t>Annual Mortgage Payments</t>
  </si>
  <si>
    <t>Cash flow available after first mortgage payment</t>
  </si>
  <si>
    <t>Other Funding Sources</t>
  </si>
  <si>
    <t>Grants/Soft Debt</t>
  </si>
  <si>
    <t>Mortgage Amount Supportable (based on NOI)</t>
  </si>
  <si>
    <t>Tax Credit Equity</t>
  </si>
  <si>
    <t>Does Loan Exceed Amount Supportable?</t>
  </si>
  <si>
    <t>Investor Equity</t>
  </si>
  <si>
    <t>Owner/Developer Equity</t>
  </si>
  <si>
    <t>Other Sources</t>
  </si>
  <si>
    <t>Total funding needed beyond first mortgage</t>
  </si>
  <si>
    <t>Total Remaining Gap (red) or overage (black)</t>
  </si>
  <si>
    <t>Existing Mortgage Balance</t>
  </si>
  <si>
    <t>Existing Replacement Reserves</t>
  </si>
  <si>
    <t>This is simply a label to help you specify the types of units your property will contain. It is not used for any calculations. Units with similar rent amounts can be recorded on the same line. If the property will have non-residential spaces that will be rented, these can be included as well.</t>
  </si>
  <si>
    <t>The total number of units the property will have at this rent level</t>
  </si>
  <si>
    <t>The rent collected for units of this type. If this amount includes costs to cover utility costs, ensure that those costs are also captured in your estimate of the Operating Expenses Per Unit Per Year.</t>
  </si>
  <si>
    <t>Total income from all other sources associated with the development other than rents collected such as laundry facilities.</t>
  </si>
  <si>
    <t>The average percentage of units that will be vacant throughout the year.</t>
  </si>
  <si>
    <t>The total cost of operating each unit including pro-rated property level costs such as maintenance, landscaping and property taxes. If your monthly rent will include utility costs, ensure that the cost of those utilities is captured as an expense as well.</t>
  </si>
  <si>
    <t>The annual per unit contributions to your replacement reserve to cover the replacement of major building systems when needed.</t>
  </si>
  <si>
    <t>The total amount of rent that could be collected in a year of operating this property if there were no vacancies.</t>
  </si>
  <si>
    <t>The estimated annual revenue that will be lost due to vacancies (i.e. rent that is not collected).</t>
  </si>
  <si>
    <t>The sum of rent income and other income minus the rent lost due to vacancy.</t>
  </si>
  <si>
    <t>The total estimated property-level operating expenses based on the per-unit expenses.</t>
  </si>
  <si>
    <t>The ratio of expenses to the Total Effective Gross Income</t>
  </si>
  <si>
    <t>The property's Total Effective Gross Income less the Total Operating Expenses. This is the total annual amount available to pay the debt service, investor returns and generate cash flow from the property</t>
  </si>
  <si>
    <t>(Refinance/Rehab only) For properties that have an existing mortgage, this is the balance remaining on the loan that will need to be paid off during a refinance. This may also be referred to by your lender as a "payoff amount."</t>
  </si>
  <si>
    <t>The cost to acquire the land and any existing structures. This should be available from a broker or listing service.</t>
  </si>
  <si>
    <t>When estimating this amount consider per unit construction costs (e.g., material, labor, administration); the cost of furniture, fixtures and equipment, pro-rated property-level construction such as infrastructure improvements, and construction-related contingencies</t>
  </si>
  <si>
    <t>Soft Costs (enter as % of the total land and hard costs)</t>
  </si>
  <si>
    <t>When estimating this amount; consider the cost of fees (including any upfront developer fee); consultants; financing costs; operating reserves; and tax, title and insurance</t>
  </si>
  <si>
    <t>Any other costs you expect to incur through the course of development.</t>
  </si>
  <si>
    <t>The total estimated construction cost for the property.</t>
  </si>
  <si>
    <t>The total estimated soft costs for the property based on the percentage specified.</t>
  </si>
  <si>
    <t>The total development cost for the property, inclusive of acquisition, hard, soft, and other costs.</t>
  </si>
  <si>
    <t>The total development cost for the property divided by the total number of units.</t>
  </si>
  <si>
    <t>The loan that will serve as the primary source of financing for this development.</t>
  </si>
  <si>
    <t>The total principal of the loan at origination.</t>
  </si>
  <si>
    <t>The period of time over which the loan will be repaid. This model assumes the loan is fully amortized (meaning principal and interest are fully repaid over a set period of time, similar to how typical home mortgages are structured). However, note that other types of loans may also be available for your development that function differently (such as interest-only loans).</t>
  </si>
  <si>
    <t>The annual interest rate on the loan, inclusive of any mortgage insurance premiums (MIP).</t>
  </si>
  <si>
    <t>The minimum ratio of the property's net operating income to the debt service payments (in this case on the first mortgage only). This is a threshold specified by lenders your property must meet in order to qualify for a loan.</t>
  </si>
  <si>
    <t>These funding sources are all treated identically in this tool, but are broken out here to help you think through the types of sources you might rely on for your development</t>
  </si>
  <si>
    <t>(Refinance/Rehab only) Funds currently in your property's replacement reserves account.</t>
  </si>
  <si>
    <t>Funds you expect to receive that will not require repayment.</t>
  </si>
  <si>
    <t>Funds you expect to receive through Housing, Historic or other tax credits.</t>
  </si>
  <si>
    <t>Funds you expect to receive from an investor who will be seeking some form of return on their investment. In most cases this return will need to be taken out of the cash flow available after payments on debt service.</t>
  </si>
  <si>
    <t>Funds you expect to put into the development yourself/from your organization.</t>
  </si>
  <si>
    <t>Any other sources of funds you expect to utilize for this development.</t>
  </si>
  <si>
    <t>Also referred to as the loan constant. This is the annual debt service on a loan compared to the total principal of the loan.</t>
  </si>
  <si>
    <t>The amount of the loan relative to the total development cost of the project. Loan products generally specify a maximum loan to cost or loan to property value ratio to qualify for a loan.</t>
  </si>
  <si>
    <t>The debt service coverage ratio (DSCR or DCR) for the first mortgage of the stabilized property.</t>
  </si>
  <si>
    <t>The total annual debt service for the first mortgage, assuming a fully amortized loan.</t>
  </si>
  <si>
    <t>The amount of the net operating income remaining annually after the debt service on the first mortgage has been paid. This represents the funds available to pay out returns to investors, collect deferred developer fees or function as cash flow to the developer.</t>
  </si>
  <si>
    <t>The maximum mortgage supported by the property's net operating income based on the specified debt service coverage ratio.</t>
  </si>
  <si>
    <t>If the loan amount you specified is greater than the maximum mortgage supportable, this cell will flag this problem for your attention by turning orange.</t>
  </si>
  <si>
    <t>Given the project's total development cost and the amount of the first mortgage (and existing replacement reserves balance for refinance/rehab projects), this is the total amount of funds that you will need to cover using other funding sources.</t>
  </si>
  <si>
    <t>Given the additional funding sources you specified, this is the gap or surplus you can expect for your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</si>
</sst>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0.0%"/>
    <numFmt numFmtId="166" formatCode="_(&quot;$&quot;* #,##0_);_(&quot;$&quot;* \(#,##0\);_(&quot;$&quot;* &quot;-&quot;??_);_(@_)"/>
  </numFmts>
  <fonts count="6">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4"/>
      <color theme="4"/>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58">
    <xf numFmtId="0" fontId="0" fillId="0" borderId="0" xfId="0"/>
    <xf numFmtId="0" fontId="2" fillId="0" borderId="1" xfId="0" applyFont="1" applyBorder="1" applyAlignment="1">
      <alignment horizontal="center" wrapText="1"/>
    </xf>
    <xf numFmtId="6" fontId="0" fillId="0" borderId="0" xfId="0" applyNumberFormat="1"/>
    <xf numFmtId="0" fontId="2" fillId="0" borderId="1" xfId="0" applyFont="1" applyBorder="1" applyAlignment="1">
      <alignment horizontal="center"/>
    </xf>
    <xf numFmtId="0" fontId="2" fillId="0" borderId="0" xfId="0" applyFont="1"/>
    <xf numFmtId="164" fontId="4" fillId="2" borderId="2" xfId="0" applyNumberFormat="1" applyFont="1" applyFill="1" applyBorder="1"/>
    <xf numFmtId="6" fontId="4" fillId="2" borderId="2" xfId="0" applyNumberFormat="1" applyFont="1" applyFill="1" applyBorder="1" applyAlignment="1">
      <alignment horizontal="right"/>
    </xf>
    <xf numFmtId="9" fontId="4" fillId="2" borderId="2" xfId="0" applyNumberFormat="1" applyFont="1" applyFill="1" applyBorder="1" applyAlignment="1">
      <alignment horizontal="right"/>
    </xf>
    <xf numFmtId="0" fontId="4" fillId="2" borderId="2" xfId="0" applyFont="1" applyFill="1" applyBorder="1" applyAlignment="1">
      <alignment horizontal="right"/>
    </xf>
    <xf numFmtId="0" fontId="3" fillId="3" borderId="3" xfId="0" applyFont="1" applyFill="1" applyBorder="1"/>
    <xf numFmtId="0" fontId="2" fillId="0" borderId="6" xfId="0" applyFont="1" applyBorder="1" applyAlignment="1">
      <alignment horizontal="left" wrapText="1"/>
    </xf>
    <xf numFmtId="0" fontId="2" fillId="0" borderId="7" xfId="0" applyFont="1" applyBorder="1" applyAlignment="1">
      <alignment horizontal="center"/>
    </xf>
    <xf numFmtId="0" fontId="4" fillId="2" borderId="8" xfId="0" applyFont="1" applyFill="1" applyBorder="1"/>
    <xf numFmtId="0" fontId="0" fillId="0" borderId="7" xfId="0" applyBorder="1"/>
    <xf numFmtId="0" fontId="0" fillId="0" borderId="7" xfId="0" applyBorder="1" applyAlignment="1">
      <alignment horizontal="right"/>
    </xf>
    <xf numFmtId="6" fontId="0" fillId="0" borderId="7" xfId="0" applyNumberFormat="1" applyBorder="1" applyAlignment="1">
      <alignment horizontal="right"/>
    </xf>
    <xf numFmtId="0" fontId="0" fillId="0" borderId="9" xfId="0" applyBorder="1"/>
    <xf numFmtId="0" fontId="0" fillId="0" borderId="0" xfId="0" applyAlignment="1">
      <alignment horizontal="center"/>
    </xf>
    <xf numFmtId="6" fontId="0" fillId="0" borderId="0" xfId="0" applyNumberFormat="1" applyAlignment="1">
      <alignment horizontal="center"/>
    </xf>
    <xf numFmtId="0" fontId="0" fillId="0" borderId="0" xfId="0" applyAlignment="1">
      <alignment horizontal="right"/>
    </xf>
    <xf numFmtId="164" fontId="0" fillId="0" borderId="7" xfId="0" applyNumberFormat="1" applyBorder="1" applyAlignment="1">
      <alignment horizontal="right"/>
    </xf>
    <xf numFmtId="165" fontId="0" fillId="0" borderId="7" xfId="1" applyNumberFormat="1" applyFont="1" applyBorder="1" applyAlignment="1">
      <alignment horizontal="right"/>
    </xf>
    <xf numFmtId="0" fontId="0" fillId="0" borderId="10" xfId="0" applyBorder="1"/>
    <xf numFmtId="0" fontId="0" fillId="0" borderId="11" xfId="0" applyBorder="1"/>
    <xf numFmtId="0" fontId="0" fillId="0" borderId="11" xfId="0" applyBorder="1" applyAlignment="1">
      <alignment horizontal="center"/>
    </xf>
    <xf numFmtId="164" fontId="2" fillId="0" borderId="7" xfId="0" applyNumberFormat="1" applyFont="1" applyBorder="1" applyAlignment="1">
      <alignment horizontal="right"/>
    </xf>
    <xf numFmtId="0" fontId="2" fillId="0" borderId="11" xfId="0" applyFont="1" applyBorder="1"/>
    <xf numFmtId="164" fontId="2" fillId="0" borderId="12" xfId="0" applyNumberFormat="1" applyFont="1" applyBorder="1" applyAlignment="1">
      <alignment horizontal="right"/>
    </xf>
    <xf numFmtId="6" fontId="2" fillId="0" borderId="12" xfId="0" applyNumberFormat="1" applyFont="1" applyBorder="1" applyAlignment="1">
      <alignment horizontal="right"/>
    </xf>
    <xf numFmtId="9" fontId="0" fillId="0" borderId="0" xfId="1" applyFont="1"/>
    <xf numFmtId="166" fontId="0" fillId="0" borderId="0" xfId="2" applyNumberFormat="1" applyFont="1"/>
    <xf numFmtId="0" fontId="0" fillId="2" borderId="2" xfId="0" applyFill="1" applyBorder="1"/>
    <xf numFmtId="10" fontId="0" fillId="2" borderId="2" xfId="1" applyNumberFormat="1" applyFont="1" applyFill="1" applyBorder="1"/>
    <xf numFmtId="2" fontId="0" fillId="2" borderId="2" xfId="0" applyNumberFormat="1" applyFill="1" applyBorder="1"/>
    <xf numFmtId="0" fontId="2" fillId="0" borderId="9" xfId="0" applyFont="1" applyBorder="1"/>
    <xf numFmtId="10" fontId="0" fillId="0" borderId="7" xfId="1" applyNumberFormat="1" applyFont="1" applyBorder="1"/>
    <xf numFmtId="164" fontId="0" fillId="0" borderId="7" xfId="0" applyNumberFormat="1" applyBorder="1"/>
    <xf numFmtId="9" fontId="0" fillId="0" borderId="7" xfId="1" applyFont="1" applyBorder="1"/>
    <xf numFmtId="2" fontId="0" fillId="0" borderId="7" xfId="0" applyNumberFormat="1" applyBorder="1"/>
    <xf numFmtId="164" fontId="0" fillId="0" borderId="0" xfId="0" applyNumberFormat="1" applyAlignment="1">
      <alignment horizontal="center"/>
    </xf>
    <xf numFmtId="6" fontId="0" fillId="0" borderId="7" xfId="0" applyNumberFormat="1" applyBorder="1"/>
    <xf numFmtId="6" fontId="2" fillId="0" borderId="12" xfId="0" applyNumberFormat="1" applyFont="1" applyBorder="1"/>
    <xf numFmtId="164" fontId="4" fillId="2" borderId="2" xfId="2" applyNumberFormat="1" applyFont="1" applyFill="1" applyBorder="1"/>
    <xf numFmtId="164" fontId="0" fillId="2" borderId="2" xfId="2" applyNumberFormat="1" applyFont="1" applyFill="1" applyBorder="1"/>
    <xf numFmtId="44" fontId="0" fillId="0" borderId="0" xfId="0" applyNumberFormat="1"/>
    <xf numFmtId="9" fontId="4" fillId="2" borderId="2" xfId="0" applyNumberFormat="1" applyFont="1" applyFill="1" applyBorder="1"/>
    <xf numFmtId="0" fontId="0" fillId="0" borderId="0" xfId="0" applyAlignment="1">
      <alignment vertical="top"/>
    </xf>
    <xf numFmtId="0" fontId="0" fillId="0" borderId="0" xfId="0" applyAlignment="1">
      <alignment vertical="top" wrapText="1"/>
    </xf>
    <xf numFmtId="164" fontId="0" fillId="2" borderId="13" xfId="2" applyNumberFormat="1" applyFont="1" applyFill="1" applyBorder="1"/>
    <xf numFmtId="0" fontId="0" fillId="0" borderId="0" xfId="0" applyAlignment="1">
      <alignment wrapText="1"/>
    </xf>
    <xf numFmtId="0" fontId="0" fillId="3" borderId="4" xfId="0" applyFill="1" applyBorder="1"/>
    <xf numFmtId="0" fontId="0" fillId="3" borderId="5" xfId="0" applyFill="1" applyBorder="1"/>
    <xf numFmtId="0" fontId="0" fillId="3" borderId="5" xfId="0" applyFill="1" applyBorder="1" applyAlignment="1">
      <alignment horizontal="right"/>
    </xf>
    <xf numFmtId="0" fontId="3" fillId="3" borderId="0" xfId="0" applyFont="1" applyFill="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2" fillId="0" borderId="0" xfId="0" applyFont="1" applyAlignment="1">
      <alignment horizontal="left" vertical="center" wrapText="1"/>
    </xf>
    <xf numFmtId="0" fontId="5" fillId="0" borderId="0" xfId="0" applyFont="1" applyAlignment="1">
      <alignment vertical="top"/>
    </xf>
  </cellXfs>
  <cellStyles count="3">
    <cellStyle name="Currency" xfId="2" builtinId="4"/>
    <cellStyle name="Normal" xfId="0" builtinId="0"/>
    <cellStyle name="Percent" xfId="1" builtinId="5"/>
  </cellStyles>
  <dxfs count="2">
    <dxf>
      <fill>
        <patternFill>
          <fgColor auto="1"/>
          <bgColor theme="5" tint="0.39994506668294322"/>
        </patternFill>
      </fill>
    </dxf>
    <dxf>
      <fill>
        <patternFill>
          <fgColor auto="1"/>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810F9-DB94-42D4-B972-F06B39DE5329}">
  <dimension ref="A1:B12"/>
  <sheetViews>
    <sheetView showGridLines="0" tabSelected="1" zoomScaleNormal="100" workbookViewId="0">
      <selection activeCell="A2" sqref="A2"/>
    </sheetView>
  </sheetViews>
  <sheetFormatPr defaultRowHeight="14.45"/>
  <cols>
    <col min="1" max="1" width="102.28515625" customWidth="1"/>
    <col min="2" max="2" width="9.42578125" customWidth="1"/>
  </cols>
  <sheetData>
    <row r="1" spans="1:2" ht="18">
      <c r="A1" s="57" t="s">
        <v>0</v>
      </c>
      <c r="B1" s="46"/>
    </row>
    <row r="2" spans="1:2" ht="209.25" customHeight="1">
      <c r="A2" s="47" t="s">
        <v>1</v>
      </c>
      <c r="B2" s="46"/>
    </row>
    <row r="3" spans="1:2">
      <c r="A3" s="46"/>
      <c r="B3" s="46"/>
    </row>
    <row r="4" spans="1:2" ht="18">
      <c r="A4" s="57" t="s">
        <v>2</v>
      </c>
      <c r="B4" s="46"/>
    </row>
    <row r="5" spans="1:2" ht="144">
      <c r="A5" s="47" t="s">
        <v>3</v>
      </c>
      <c r="B5" s="46"/>
    </row>
    <row r="6" spans="1:2">
      <c r="A6" s="46"/>
      <c r="B6" s="46"/>
    </row>
    <row r="7" spans="1:2">
      <c r="A7" s="46"/>
      <c r="B7" s="46"/>
    </row>
    <row r="8" spans="1:2">
      <c r="A8" s="46"/>
      <c r="B8" s="46"/>
    </row>
    <row r="10" spans="1:2">
      <c r="A10" s="4"/>
    </row>
    <row r="11" spans="1:2">
      <c r="A11" s="16"/>
    </row>
    <row r="12" spans="1:2">
      <c r="A12"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6C84-CCA4-4E4D-8DEA-77E9036A7115}">
  <dimension ref="A1:I41"/>
  <sheetViews>
    <sheetView topLeftCell="A23" zoomScaleNormal="100" workbookViewId="0">
      <selection activeCell="F28" sqref="F28"/>
    </sheetView>
  </sheetViews>
  <sheetFormatPr defaultRowHeight="14.45"/>
  <cols>
    <col min="1" max="1" width="55.7109375" bestFit="1" customWidth="1"/>
    <col min="2" max="2" width="12.140625" bestFit="1" customWidth="1"/>
    <col min="3" max="3" width="13.28515625" bestFit="1" customWidth="1"/>
    <col min="4" max="4" width="3.42578125" customWidth="1"/>
    <col min="5" max="5" width="45" bestFit="1" customWidth="1"/>
    <col min="6" max="6" width="12.85546875" customWidth="1"/>
    <col min="8" max="8" width="15.28515625" bestFit="1" customWidth="1"/>
  </cols>
  <sheetData>
    <row r="1" spans="1:9" ht="18">
      <c r="A1" s="9" t="s">
        <v>4</v>
      </c>
      <c r="B1" s="50"/>
      <c r="C1" s="50"/>
      <c r="D1" s="50"/>
      <c r="E1" s="50"/>
      <c r="F1" s="51"/>
    </row>
    <row r="2" spans="1:9">
      <c r="A2" s="10" t="s">
        <v>5</v>
      </c>
      <c r="B2" s="1" t="s">
        <v>6</v>
      </c>
      <c r="C2" s="3" t="s">
        <v>7</v>
      </c>
      <c r="F2" s="11"/>
    </row>
    <row r="3" spans="1:9">
      <c r="A3" s="12" t="s">
        <v>8</v>
      </c>
      <c r="B3" s="8">
        <v>10</v>
      </c>
      <c r="C3" s="6">
        <v>1000</v>
      </c>
      <c r="F3" s="13"/>
    </row>
    <row r="4" spans="1:9">
      <c r="A4" s="12" t="s">
        <v>9</v>
      </c>
      <c r="B4" s="8">
        <v>5</v>
      </c>
      <c r="C4" s="6">
        <v>1200</v>
      </c>
      <c r="F4" s="13"/>
    </row>
    <row r="5" spans="1:9">
      <c r="A5" s="12"/>
      <c r="B5" s="8"/>
      <c r="C5" s="6"/>
      <c r="F5" s="13"/>
    </row>
    <row r="6" spans="1:9">
      <c r="A6" s="12"/>
      <c r="B6" s="8"/>
      <c r="C6" s="6"/>
      <c r="E6" t="s">
        <v>10</v>
      </c>
      <c r="F6" s="14">
        <f>SUM(B3:B7)</f>
        <v>15</v>
      </c>
    </row>
    <row r="7" spans="1:9">
      <c r="A7" s="12"/>
      <c r="B7" s="8"/>
      <c r="C7" s="6"/>
      <c r="E7" t="s">
        <v>11</v>
      </c>
      <c r="F7" s="15">
        <f>12*SUMPRODUCT(B3:B7,C3:C7)</f>
        <v>192000</v>
      </c>
    </row>
    <row r="8" spans="1:9">
      <c r="A8" s="16"/>
      <c r="F8" s="14"/>
    </row>
    <row r="9" spans="1:9" ht="17.25" customHeight="1">
      <c r="A9" s="16" t="s">
        <v>12</v>
      </c>
      <c r="B9" s="6">
        <v>500</v>
      </c>
      <c r="C9" s="17"/>
      <c r="D9" s="18"/>
      <c r="E9" t="s">
        <v>13</v>
      </c>
      <c r="F9" s="15">
        <f>-(F7*B10)</f>
        <v>-9600</v>
      </c>
    </row>
    <row r="10" spans="1:9" ht="17.25" customHeight="1">
      <c r="A10" s="16" t="s">
        <v>14</v>
      </c>
      <c r="B10" s="7">
        <v>0.05</v>
      </c>
      <c r="C10" s="17"/>
      <c r="D10" s="18"/>
      <c r="E10" t="s">
        <v>15</v>
      </c>
      <c r="F10" s="15">
        <f>F7+F9+B9</f>
        <v>182900</v>
      </c>
    </row>
    <row r="11" spans="1:9">
      <c r="A11" s="16"/>
      <c r="B11" s="19"/>
      <c r="F11" s="14"/>
      <c r="I11" s="29"/>
    </row>
    <row r="12" spans="1:9">
      <c r="A12" s="16" t="s">
        <v>16</v>
      </c>
      <c r="B12" s="6">
        <v>5000</v>
      </c>
      <c r="C12" s="17"/>
      <c r="D12" s="18"/>
      <c r="E12" t="s">
        <v>17</v>
      </c>
      <c r="F12" s="20">
        <f>(F6*B12)+(F6*B13)</f>
        <v>79500</v>
      </c>
      <c r="I12" s="29"/>
    </row>
    <row r="13" spans="1:9">
      <c r="A13" s="16" t="s">
        <v>18</v>
      </c>
      <c r="B13" s="6">
        <v>300</v>
      </c>
      <c r="E13" t="s">
        <v>19</v>
      </c>
      <c r="F13" s="21">
        <f>F12/F10</f>
        <v>0.43466375068343355</v>
      </c>
      <c r="I13" s="29"/>
    </row>
    <row r="14" spans="1:9">
      <c r="F14" s="13"/>
      <c r="I14" s="29"/>
    </row>
    <row r="15" spans="1:9" ht="15" thickBot="1">
      <c r="A15" s="22"/>
      <c r="B15" s="23"/>
      <c r="C15" s="23"/>
      <c r="D15" s="24"/>
      <c r="E15" s="26" t="s">
        <v>20</v>
      </c>
      <c r="F15" s="28">
        <f>F10-F12</f>
        <v>103400</v>
      </c>
      <c r="I15" s="29"/>
    </row>
    <row r="16" spans="1:9" ht="18">
      <c r="A16" s="9" t="s">
        <v>21</v>
      </c>
      <c r="B16" s="50"/>
      <c r="C16" s="50"/>
      <c r="D16" s="50"/>
      <c r="E16" s="50"/>
      <c r="F16" s="52"/>
      <c r="I16" s="29"/>
    </row>
    <row r="17" spans="1:9">
      <c r="A17" s="16" t="s">
        <v>22</v>
      </c>
      <c r="B17" s="5">
        <v>200000</v>
      </c>
      <c r="D17" s="17"/>
      <c r="F17" s="14"/>
      <c r="I17" s="29"/>
    </row>
    <row r="18" spans="1:9">
      <c r="A18" s="16" t="s">
        <v>23</v>
      </c>
      <c r="B18" s="5">
        <v>120000</v>
      </c>
      <c r="E18" t="s">
        <v>24</v>
      </c>
      <c r="F18" s="20">
        <f>B18*F6</f>
        <v>1800000</v>
      </c>
      <c r="I18" s="29"/>
    </row>
    <row r="19" spans="1:9" ht="18" customHeight="1">
      <c r="A19" s="16" t="s">
        <v>25</v>
      </c>
      <c r="B19" s="45">
        <v>0.2</v>
      </c>
      <c r="E19" t="s">
        <v>26</v>
      </c>
      <c r="F19" s="20">
        <f>(B17+F18)*B19</f>
        <v>400000</v>
      </c>
    </row>
    <row r="20" spans="1:9" ht="18" customHeight="1">
      <c r="A20" s="16" t="s">
        <v>27</v>
      </c>
      <c r="B20" s="5">
        <v>0</v>
      </c>
      <c r="F20" s="20"/>
    </row>
    <row r="21" spans="1:9">
      <c r="E21" s="4" t="s">
        <v>28</v>
      </c>
      <c r="F21" s="25">
        <f>SUM(B17,F18,F19,B20)</f>
        <v>2400000</v>
      </c>
    </row>
    <row r="22" spans="1:9" ht="15" thickBot="1">
      <c r="A22" s="22"/>
      <c r="B22" s="23"/>
      <c r="C22" s="23"/>
      <c r="D22" s="23"/>
      <c r="E22" s="26" t="s">
        <v>29</v>
      </c>
      <c r="F22" s="27">
        <f>F21/F6</f>
        <v>160000</v>
      </c>
    </row>
    <row r="23" spans="1:9" ht="18">
      <c r="A23" s="9" t="s">
        <v>30</v>
      </c>
      <c r="B23" s="50"/>
      <c r="C23" s="50"/>
      <c r="D23" s="50"/>
      <c r="E23" s="50"/>
      <c r="F23" s="51"/>
    </row>
    <row r="24" spans="1:9">
      <c r="A24" s="34" t="s">
        <v>31</v>
      </c>
      <c r="F24" s="13"/>
    </row>
    <row r="25" spans="1:9">
      <c r="A25" s="16" t="s">
        <v>32</v>
      </c>
      <c r="B25" s="5">
        <f>0.65*F21</f>
        <v>1560000</v>
      </c>
      <c r="E25" t="s">
        <v>33</v>
      </c>
      <c r="F25" s="35">
        <f>12*(PMT(B27/12,B26*12,-1))</f>
        <v>5.0592484047534053E-2</v>
      </c>
    </row>
    <row r="26" spans="1:9">
      <c r="A26" s="16" t="s">
        <v>34</v>
      </c>
      <c r="B26" s="31">
        <v>30</v>
      </c>
      <c r="E26" t="s">
        <v>35</v>
      </c>
      <c r="F26" s="37">
        <f>B25/F21</f>
        <v>0.65</v>
      </c>
    </row>
    <row r="27" spans="1:9">
      <c r="A27" s="16" t="s">
        <v>36</v>
      </c>
      <c r="B27" s="32">
        <v>0.03</v>
      </c>
      <c r="E27" t="s">
        <v>37</v>
      </c>
      <c r="F27" s="38">
        <f>F15/F28</f>
        <v>1.3101165623687527</v>
      </c>
    </row>
    <row r="28" spans="1:9">
      <c r="A28" s="16" t="s">
        <v>38</v>
      </c>
      <c r="B28" s="33">
        <v>1.2</v>
      </c>
      <c r="E28" t="s">
        <v>39</v>
      </c>
      <c r="F28" s="40">
        <f>-PMT(B27/12,B26*12,B25)*12</f>
        <v>78924.275114153133</v>
      </c>
    </row>
    <row r="29" spans="1:9">
      <c r="A29" s="16"/>
      <c r="E29" t="s">
        <v>40</v>
      </c>
      <c r="F29" s="40">
        <f>F15-F28</f>
        <v>24475.724885846867</v>
      </c>
    </row>
    <row r="30" spans="1:9">
      <c r="A30" s="34" t="s">
        <v>41</v>
      </c>
      <c r="F30" s="13"/>
    </row>
    <row r="31" spans="1:9">
      <c r="A31" s="16" t="s">
        <v>42</v>
      </c>
      <c r="B31" s="42">
        <v>0</v>
      </c>
      <c r="D31" s="39"/>
      <c r="E31" t="s">
        <v>43</v>
      </c>
      <c r="F31" s="36">
        <f>(F15/B28/F25)</f>
        <v>1703151.5310793789</v>
      </c>
    </row>
    <row r="32" spans="1:9">
      <c r="A32" s="16" t="s">
        <v>44</v>
      </c>
      <c r="B32" s="43">
        <v>0</v>
      </c>
      <c r="E32" s="4" t="s">
        <v>45</v>
      </c>
      <c r="F32" s="11" t="str">
        <f>IF(B25&gt;F31,"Yes","No")</f>
        <v>No</v>
      </c>
    </row>
    <row r="33" spans="1:6">
      <c r="A33" s="16" t="s">
        <v>46</v>
      </c>
      <c r="B33" s="43">
        <v>0</v>
      </c>
      <c r="F33" s="13"/>
    </row>
    <row r="34" spans="1:6">
      <c r="A34" s="16" t="s">
        <v>47</v>
      </c>
      <c r="B34" s="43">
        <v>840000</v>
      </c>
      <c r="F34" s="13"/>
    </row>
    <row r="35" spans="1:6">
      <c r="A35" s="16" t="s">
        <v>48</v>
      </c>
      <c r="B35" s="43">
        <v>0</v>
      </c>
      <c r="E35" t="s">
        <v>49</v>
      </c>
      <c r="F35" s="40">
        <f>B25-F21</f>
        <v>-840000</v>
      </c>
    </row>
    <row r="36" spans="1:6" ht="15" thickBot="1">
      <c r="A36" s="22"/>
      <c r="B36" s="23"/>
      <c r="C36" s="23"/>
      <c r="D36" s="23"/>
      <c r="E36" s="26" t="s">
        <v>50</v>
      </c>
      <c r="F36" s="41">
        <f>F35+SUM(B31:B35)</f>
        <v>0</v>
      </c>
    </row>
    <row r="41" spans="1:6">
      <c r="F41" s="2"/>
    </row>
  </sheetData>
  <conditionalFormatting sqref="F32">
    <cfRule type="containsText" dxfId="1" priority="1" operator="containsText" text="Yes">
      <formula>NOT(ISERROR(SEARCH("Yes",F32)))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EAA38-1B5C-453B-908A-A581981E42EB}">
  <dimension ref="A1:I41"/>
  <sheetViews>
    <sheetView zoomScaleNormal="100" workbookViewId="0">
      <selection activeCell="I19" sqref="I19"/>
    </sheetView>
  </sheetViews>
  <sheetFormatPr defaultRowHeight="14.45"/>
  <cols>
    <col min="1" max="1" width="55.7109375" bestFit="1" customWidth="1"/>
    <col min="2" max="2" width="12.140625" bestFit="1" customWidth="1"/>
    <col min="3" max="3" width="13.28515625" bestFit="1" customWidth="1"/>
    <col min="4" max="4" width="3" customWidth="1"/>
    <col min="5" max="5" width="45" bestFit="1" customWidth="1"/>
    <col min="6" max="6" width="12.85546875" customWidth="1"/>
    <col min="8" max="8" width="15.28515625" bestFit="1" customWidth="1"/>
  </cols>
  <sheetData>
    <row r="1" spans="1:9" ht="18">
      <c r="A1" s="9" t="s">
        <v>4</v>
      </c>
      <c r="B1" s="50"/>
      <c r="C1" s="50"/>
      <c r="D1" s="50"/>
      <c r="E1" s="50"/>
      <c r="F1" s="51"/>
    </row>
    <row r="2" spans="1:9">
      <c r="A2" s="10" t="s">
        <v>5</v>
      </c>
      <c r="B2" s="1" t="s">
        <v>6</v>
      </c>
      <c r="C2" s="3" t="s">
        <v>7</v>
      </c>
      <c r="F2" s="11"/>
    </row>
    <row r="3" spans="1:9">
      <c r="A3" s="12" t="s">
        <v>8</v>
      </c>
      <c r="B3" s="8">
        <v>10</v>
      </c>
      <c r="C3" s="6">
        <v>1000</v>
      </c>
      <c r="F3" s="13"/>
    </row>
    <row r="4" spans="1:9">
      <c r="A4" s="12" t="s">
        <v>9</v>
      </c>
      <c r="B4" s="8">
        <v>5</v>
      </c>
      <c r="C4" s="6">
        <v>1200</v>
      </c>
      <c r="F4" s="13"/>
    </row>
    <row r="5" spans="1:9">
      <c r="A5" s="12"/>
      <c r="B5" s="8"/>
      <c r="C5" s="6"/>
      <c r="F5" s="13"/>
    </row>
    <row r="6" spans="1:9">
      <c r="A6" s="12"/>
      <c r="B6" s="8"/>
      <c r="C6" s="6"/>
      <c r="E6" t="s">
        <v>10</v>
      </c>
      <c r="F6" s="14">
        <f>SUM(B3:B7)</f>
        <v>15</v>
      </c>
    </row>
    <row r="7" spans="1:9">
      <c r="A7" s="12"/>
      <c r="B7" s="8"/>
      <c r="C7" s="6"/>
      <c r="E7" t="s">
        <v>11</v>
      </c>
      <c r="F7" s="15">
        <f>12*SUMPRODUCT(B3:B7,C3:C7)</f>
        <v>192000</v>
      </c>
    </row>
    <row r="8" spans="1:9">
      <c r="A8" s="16"/>
      <c r="F8" s="14"/>
    </row>
    <row r="9" spans="1:9" ht="17.25" customHeight="1">
      <c r="A9" s="16" t="s">
        <v>12</v>
      </c>
      <c r="B9" s="6">
        <v>500</v>
      </c>
      <c r="C9" s="17"/>
      <c r="D9" s="18"/>
      <c r="E9" t="s">
        <v>13</v>
      </c>
      <c r="F9" s="15">
        <f>-(F7*B10)</f>
        <v>-9600</v>
      </c>
    </row>
    <row r="10" spans="1:9" ht="17.25" customHeight="1">
      <c r="A10" s="16" t="s">
        <v>14</v>
      </c>
      <c r="B10" s="7">
        <v>0.05</v>
      </c>
      <c r="C10" s="17"/>
      <c r="D10" s="18"/>
      <c r="E10" t="s">
        <v>15</v>
      </c>
      <c r="F10" s="15">
        <f>F7+F9+B9</f>
        <v>182900</v>
      </c>
    </row>
    <row r="11" spans="1:9">
      <c r="A11" s="16"/>
      <c r="B11" s="19"/>
      <c r="F11" s="14"/>
      <c r="H11" s="30"/>
      <c r="I11" s="29"/>
    </row>
    <row r="12" spans="1:9">
      <c r="A12" s="16" t="s">
        <v>16</v>
      </c>
      <c r="B12" s="6">
        <v>5000</v>
      </c>
      <c r="C12" s="17"/>
      <c r="D12" s="18"/>
      <c r="E12" t="s">
        <v>17</v>
      </c>
      <c r="F12" s="20">
        <f>(F6*B12)+(F6*B13)</f>
        <v>79500</v>
      </c>
      <c r="H12" s="30"/>
      <c r="I12" s="29"/>
    </row>
    <row r="13" spans="1:9">
      <c r="A13" s="16" t="s">
        <v>18</v>
      </c>
      <c r="B13" s="6">
        <v>300</v>
      </c>
      <c r="E13" t="s">
        <v>19</v>
      </c>
      <c r="F13" s="21">
        <f>F12/F10</f>
        <v>0.43466375068343355</v>
      </c>
      <c r="H13" s="30"/>
      <c r="I13" s="29"/>
    </row>
    <row r="14" spans="1:9">
      <c r="F14" s="13"/>
      <c r="H14" s="30"/>
      <c r="I14" s="29"/>
    </row>
    <row r="15" spans="1:9" ht="15" thickBot="1">
      <c r="A15" s="22"/>
      <c r="B15" s="23"/>
      <c r="C15" s="23"/>
      <c r="D15" s="24"/>
      <c r="E15" s="26" t="s">
        <v>20</v>
      </c>
      <c r="F15" s="28">
        <f>F10-F12</f>
        <v>103400</v>
      </c>
      <c r="H15" s="30"/>
      <c r="I15" s="29"/>
    </row>
    <row r="16" spans="1:9" ht="18">
      <c r="A16" s="9" t="s">
        <v>21</v>
      </c>
      <c r="B16" s="50"/>
      <c r="C16" s="50"/>
      <c r="D16" s="50"/>
      <c r="E16" s="50"/>
      <c r="F16" s="52"/>
      <c r="H16" s="30"/>
      <c r="I16" s="29"/>
    </row>
    <row r="17" spans="1:9">
      <c r="A17" s="16" t="s">
        <v>51</v>
      </c>
      <c r="B17" s="5">
        <v>700000</v>
      </c>
      <c r="D17" s="17"/>
      <c r="F17" s="14"/>
      <c r="H17" s="30"/>
      <c r="I17" s="29"/>
    </row>
    <row r="18" spans="1:9">
      <c r="A18" s="16" t="s">
        <v>23</v>
      </c>
      <c r="B18" s="5">
        <v>20000</v>
      </c>
      <c r="E18" t="s">
        <v>24</v>
      </c>
      <c r="F18" s="20">
        <f>B18*F6</f>
        <v>300000</v>
      </c>
      <c r="H18" s="30"/>
      <c r="I18" s="29"/>
    </row>
    <row r="19" spans="1:9" ht="18" customHeight="1">
      <c r="A19" s="16" t="s">
        <v>25</v>
      </c>
      <c r="B19" s="45">
        <v>0.05</v>
      </c>
      <c r="E19" t="s">
        <v>26</v>
      </c>
      <c r="F19" s="20">
        <f>(B17+F18)*B19</f>
        <v>50000</v>
      </c>
      <c r="H19" s="44"/>
    </row>
    <row r="20" spans="1:9" ht="18" customHeight="1">
      <c r="A20" s="16" t="s">
        <v>27</v>
      </c>
      <c r="B20" s="5">
        <v>0</v>
      </c>
      <c r="F20" s="20"/>
      <c r="H20" s="44"/>
    </row>
    <row r="21" spans="1:9">
      <c r="E21" s="4" t="s">
        <v>28</v>
      </c>
      <c r="F21" s="25">
        <f>SUM(B17,F18,F19,B20)</f>
        <v>1050000</v>
      </c>
    </row>
    <row r="22" spans="1:9" ht="15" thickBot="1">
      <c r="A22" s="22"/>
      <c r="B22" s="23"/>
      <c r="C22" s="23"/>
      <c r="D22" s="23"/>
      <c r="E22" s="26" t="s">
        <v>29</v>
      </c>
      <c r="F22" s="27">
        <f>F21/F6</f>
        <v>70000</v>
      </c>
    </row>
    <row r="23" spans="1:9" ht="18">
      <c r="A23" s="9" t="s">
        <v>30</v>
      </c>
      <c r="B23" s="50"/>
      <c r="C23" s="50"/>
      <c r="D23" s="50"/>
      <c r="E23" s="50"/>
      <c r="F23" s="51"/>
    </row>
    <row r="24" spans="1:9">
      <c r="A24" s="34" t="s">
        <v>31</v>
      </c>
      <c r="F24" s="13"/>
    </row>
    <row r="25" spans="1:9">
      <c r="A25" s="16" t="s">
        <v>32</v>
      </c>
      <c r="B25" s="5">
        <f>0.65*F21</f>
        <v>682500</v>
      </c>
      <c r="E25" t="s">
        <v>33</v>
      </c>
      <c r="F25" s="35">
        <f>12*(PMT(B27/12,B26*12,-1))</f>
        <v>5.0592484047534053E-2</v>
      </c>
    </row>
    <row r="26" spans="1:9">
      <c r="A26" s="16" t="s">
        <v>34</v>
      </c>
      <c r="B26" s="31">
        <v>30</v>
      </c>
      <c r="E26" t="s">
        <v>35</v>
      </c>
      <c r="F26" s="37">
        <f>B25/F21</f>
        <v>0.65</v>
      </c>
    </row>
    <row r="27" spans="1:9">
      <c r="A27" s="16" t="s">
        <v>36</v>
      </c>
      <c r="B27" s="32">
        <v>0.03</v>
      </c>
      <c r="E27" t="s">
        <v>37</v>
      </c>
      <c r="F27" s="38">
        <f>F15/F28</f>
        <v>2.9945521425571493</v>
      </c>
    </row>
    <row r="28" spans="1:9">
      <c r="A28" s="16" t="s">
        <v>38</v>
      </c>
      <c r="B28" s="33">
        <v>1.2</v>
      </c>
      <c r="E28" t="s">
        <v>39</v>
      </c>
      <c r="F28" s="40">
        <f>-PMT(B27/12,B26*12,B25)*12</f>
        <v>34529.370362441994</v>
      </c>
    </row>
    <row r="29" spans="1:9">
      <c r="A29" s="16"/>
      <c r="E29" t="s">
        <v>40</v>
      </c>
      <c r="F29" s="40">
        <f>F15-F28</f>
        <v>68870.629637558013</v>
      </c>
    </row>
    <row r="30" spans="1:9">
      <c r="A30" s="34" t="s">
        <v>41</v>
      </c>
      <c r="F30" s="13"/>
    </row>
    <row r="31" spans="1:9">
      <c r="A31" s="16" t="s">
        <v>52</v>
      </c>
      <c r="B31" s="42">
        <v>20000</v>
      </c>
      <c r="D31" s="39"/>
      <c r="E31" t="s">
        <v>43</v>
      </c>
      <c r="F31" s="36">
        <f>(F15/B28/F25)</f>
        <v>1703151.5310793789</v>
      </c>
    </row>
    <row r="32" spans="1:9">
      <c r="A32" s="16" t="s">
        <v>42</v>
      </c>
      <c r="B32" s="42">
        <v>100000</v>
      </c>
      <c r="E32" s="4" t="s">
        <v>45</v>
      </c>
      <c r="F32" s="11" t="str">
        <f>IF(B25&gt;F31,"Yes","No")</f>
        <v>No</v>
      </c>
    </row>
    <row r="33" spans="1:6">
      <c r="A33" s="16" t="s">
        <v>44</v>
      </c>
      <c r="B33" s="43">
        <v>0</v>
      </c>
      <c r="F33" s="13"/>
    </row>
    <row r="34" spans="1:6">
      <c r="A34" s="16" t="s">
        <v>46</v>
      </c>
      <c r="B34" s="43">
        <v>0</v>
      </c>
      <c r="F34" s="40"/>
    </row>
    <row r="35" spans="1:6">
      <c r="A35" s="16" t="s">
        <v>47</v>
      </c>
      <c r="B35" s="43">
        <v>247500</v>
      </c>
      <c r="E35" t="s">
        <v>49</v>
      </c>
      <c r="F35" s="40">
        <f>F21-B25-B31</f>
        <v>347500</v>
      </c>
    </row>
    <row r="36" spans="1:6" ht="15" thickBot="1">
      <c r="A36" s="22" t="s">
        <v>48</v>
      </c>
      <c r="B36" s="48">
        <v>0</v>
      </c>
      <c r="C36" s="23"/>
      <c r="D36" s="23"/>
      <c r="E36" s="26" t="s">
        <v>50</v>
      </c>
      <c r="F36" s="41">
        <f>-F35+SUM(B32:B36)</f>
        <v>0</v>
      </c>
    </row>
    <row r="41" spans="1:6">
      <c r="F41" s="2"/>
    </row>
  </sheetData>
  <conditionalFormatting sqref="F32">
    <cfRule type="containsText" dxfId="0" priority="1" operator="containsText" text="Yes">
      <formula>NOT(ISERROR(SEARCH("Yes",F32)))</formula>
    </cfRule>
  </conditionalFormatting>
  <pageMargins left="0.7" right="0.7" top="0.75" bottom="0.75" header="0.3" footer="0.3"/>
  <pageSetup orientation="portrait" r:id="rId1"/>
  <ignoredErrors>
    <ignoredError sqref="F3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4312-76D3-4424-A4FB-6968DBDB62A8}">
  <dimension ref="A1:B49"/>
  <sheetViews>
    <sheetView topLeftCell="A33" zoomScaleNormal="100" workbookViewId="0">
      <selection activeCell="B1" sqref="B1"/>
    </sheetView>
  </sheetViews>
  <sheetFormatPr defaultColWidth="9.140625" defaultRowHeight="14.45"/>
  <cols>
    <col min="1" max="1" width="33.7109375" customWidth="1"/>
    <col min="2" max="2" width="90.140625" style="49" customWidth="1"/>
  </cols>
  <sheetData>
    <row r="1" spans="1:2" ht="36">
      <c r="A1" s="53" t="s">
        <v>4</v>
      </c>
      <c r="B1" s="53"/>
    </row>
    <row r="2" spans="1:2" ht="43.15">
      <c r="A2" s="54" t="s">
        <v>5</v>
      </c>
      <c r="B2" s="54" t="s">
        <v>53</v>
      </c>
    </row>
    <row r="3" spans="1:2">
      <c r="A3" s="54" t="s">
        <v>6</v>
      </c>
      <c r="B3" s="54" t="s">
        <v>54</v>
      </c>
    </row>
    <row r="4" spans="1:2" ht="28.9">
      <c r="A4" s="54" t="s">
        <v>7</v>
      </c>
      <c r="B4" s="54" t="s">
        <v>55</v>
      </c>
    </row>
    <row r="5" spans="1:2" ht="28.9">
      <c r="A5" s="54" t="s">
        <v>12</v>
      </c>
      <c r="B5" s="54" t="s">
        <v>56</v>
      </c>
    </row>
    <row r="6" spans="1:2">
      <c r="A6" s="54" t="s">
        <v>14</v>
      </c>
      <c r="B6" s="54" t="s">
        <v>57</v>
      </c>
    </row>
    <row r="7" spans="1:2" ht="43.15">
      <c r="A7" s="55" t="s">
        <v>16</v>
      </c>
      <c r="B7" s="54" t="s">
        <v>58</v>
      </c>
    </row>
    <row r="8" spans="1:2" ht="28.9">
      <c r="A8" s="54" t="s">
        <v>18</v>
      </c>
      <c r="B8" s="54" t="s">
        <v>59</v>
      </c>
    </row>
    <row r="9" spans="1:2">
      <c r="A9" s="54"/>
      <c r="B9" s="54"/>
    </row>
    <row r="10" spans="1:2" ht="28.9">
      <c r="A10" s="54" t="s">
        <v>11</v>
      </c>
      <c r="B10" s="54" t="s">
        <v>60</v>
      </c>
    </row>
    <row r="11" spans="1:2">
      <c r="A11" s="54" t="s">
        <v>13</v>
      </c>
      <c r="B11" s="54" t="s">
        <v>61</v>
      </c>
    </row>
    <row r="12" spans="1:2">
      <c r="A12" s="54" t="s">
        <v>15</v>
      </c>
      <c r="B12" s="54" t="s">
        <v>62</v>
      </c>
    </row>
    <row r="13" spans="1:2">
      <c r="A13" s="54" t="s">
        <v>17</v>
      </c>
      <c r="B13" s="54" t="s">
        <v>63</v>
      </c>
    </row>
    <row r="14" spans="1:2">
      <c r="A14" s="54" t="s">
        <v>19</v>
      </c>
      <c r="B14" s="54" t="s">
        <v>64</v>
      </c>
    </row>
    <row r="15" spans="1:2" ht="28.9">
      <c r="A15" s="54" t="s">
        <v>20</v>
      </c>
      <c r="B15" s="54" t="s">
        <v>65</v>
      </c>
    </row>
    <row r="16" spans="1:2" ht="18">
      <c r="A16" s="53" t="s">
        <v>21</v>
      </c>
      <c r="B16" s="53"/>
    </row>
    <row r="17" spans="1:2" ht="43.15">
      <c r="A17" s="54" t="s">
        <v>51</v>
      </c>
      <c r="B17" s="54" t="s">
        <v>66</v>
      </c>
    </row>
    <row r="18" spans="1:2" ht="28.9">
      <c r="A18" s="54" t="s">
        <v>22</v>
      </c>
      <c r="B18" s="54" t="s">
        <v>67</v>
      </c>
    </row>
    <row r="19" spans="1:2" ht="43.15">
      <c r="A19" s="54" t="s">
        <v>23</v>
      </c>
      <c r="B19" s="54" t="s">
        <v>68</v>
      </c>
    </row>
    <row r="20" spans="1:2" ht="28.9">
      <c r="A20" s="54" t="s">
        <v>69</v>
      </c>
      <c r="B20" s="54" t="s">
        <v>70</v>
      </c>
    </row>
    <row r="21" spans="1:2">
      <c r="A21" s="54" t="s">
        <v>27</v>
      </c>
      <c r="B21" s="54" t="s">
        <v>71</v>
      </c>
    </row>
    <row r="22" spans="1:2">
      <c r="A22" s="54"/>
      <c r="B22" s="54"/>
    </row>
    <row r="23" spans="1:2">
      <c r="A23" s="54" t="s">
        <v>24</v>
      </c>
      <c r="B23" s="54" t="s">
        <v>72</v>
      </c>
    </row>
    <row r="24" spans="1:2">
      <c r="A24" s="54" t="s">
        <v>26</v>
      </c>
      <c r="B24" s="54" t="s">
        <v>73</v>
      </c>
    </row>
    <row r="25" spans="1:2">
      <c r="A25" s="54" t="s">
        <v>28</v>
      </c>
      <c r="B25" s="54" t="s">
        <v>74</v>
      </c>
    </row>
    <row r="26" spans="1:2">
      <c r="A26" s="54" t="s">
        <v>29</v>
      </c>
      <c r="B26" s="54" t="s">
        <v>75</v>
      </c>
    </row>
    <row r="27" spans="1:2" ht="18">
      <c r="A27" s="53" t="s">
        <v>30</v>
      </c>
      <c r="B27" s="53"/>
    </row>
    <row r="28" spans="1:2">
      <c r="A28" s="56" t="s">
        <v>31</v>
      </c>
      <c r="B28" s="54" t="s">
        <v>76</v>
      </c>
    </row>
    <row r="29" spans="1:2">
      <c r="A29" s="54" t="s">
        <v>32</v>
      </c>
      <c r="B29" s="54" t="s">
        <v>77</v>
      </c>
    </row>
    <row r="30" spans="1:2" ht="57.6">
      <c r="A30" s="54" t="s">
        <v>34</v>
      </c>
      <c r="B30" s="54" t="s">
        <v>78</v>
      </c>
    </row>
    <row r="31" spans="1:2" ht="28.9">
      <c r="A31" s="54" t="s">
        <v>36</v>
      </c>
      <c r="B31" s="54" t="s">
        <v>79</v>
      </c>
    </row>
    <row r="32" spans="1:2" ht="43.15">
      <c r="A32" s="54" t="s">
        <v>38</v>
      </c>
      <c r="B32" s="54" t="s">
        <v>80</v>
      </c>
    </row>
    <row r="33" spans="1:2" ht="28.9">
      <c r="A33" s="56" t="s">
        <v>41</v>
      </c>
      <c r="B33" s="54" t="s">
        <v>81</v>
      </c>
    </row>
    <row r="34" spans="1:2">
      <c r="A34" s="54" t="s">
        <v>52</v>
      </c>
      <c r="B34" s="54" t="s">
        <v>82</v>
      </c>
    </row>
    <row r="35" spans="1:2">
      <c r="A35" s="54" t="s">
        <v>42</v>
      </c>
      <c r="B35" s="54" t="s">
        <v>83</v>
      </c>
    </row>
    <row r="36" spans="1:2">
      <c r="A36" s="54" t="s">
        <v>44</v>
      </c>
      <c r="B36" s="54" t="s">
        <v>84</v>
      </c>
    </row>
    <row r="37" spans="1:2" ht="43.15">
      <c r="A37" s="54" t="s">
        <v>46</v>
      </c>
      <c r="B37" s="54" t="s">
        <v>85</v>
      </c>
    </row>
    <row r="38" spans="1:2">
      <c r="A38" s="54" t="s">
        <v>47</v>
      </c>
      <c r="B38" s="54" t="s">
        <v>86</v>
      </c>
    </row>
    <row r="39" spans="1:2">
      <c r="A39" s="54" t="s">
        <v>48</v>
      </c>
      <c r="B39" s="54" t="s">
        <v>87</v>
      </c>
    </row>
    <row r="40" spans="1:2">
      <c r="A40" s="54"/>
      <c r="B40" s="54"/>
    </row>
    <row r="41" spans="1:2" ht="28.9">
      <c r="A41" s="54" t="s">
        <v>33</v>
      </c>
      <c r="B41" s="54" t="s">
        <v>88</v>
      </c>
    </row>
    <row r="42" spans="1:2" ht="28.9">
      <c r="A42" s="54" t="s">
        <v>35</v>
      </c>
      <c r="B42" s="54" t="s">
        <v>89</v>
      </c>
    </row>
    <row r="43" spans="1:2" ht="28.9">
      <c r="A43" s="54" t="s">
        <v>37</v>
      </c>
      <c r="B43" s="54" t="s">
        <v>90</v>
      </c>
    </row>
    <row r="44" spans="1:2">
      <c r="A44" s="54" t="s">
        <v>39</v>
      </c>
      <c r="B44" s="54" t="s">
        <v>91</v>
      </c>
    </row>
    <row r="45" spans="1:2" ht="43.15">
      <c r="A45" s="54" t="s">
        <v>40</v>
      </c>
      <c r="B45" s="54" t="s">
        <v>92</v>
      </c>
    </row>
    <row r="46" spans="1:2" ht="28.9">
      <c r="A46" s="54" t="s">
        <v>43</v>
      </c>
      <c r="B46" s="54" t="s">
        <v>93</v>
      </c>
    </row>
    <row r="47" spans="1:2" ht="28.9">
      <c r="A47" s="54" t="s">
        <v>45</v>
      </c>
      <c r="B47" s="54" t="s">
        <v>94</v>
      </c>
    </row>
    <row r="48" spans="1:2" ht="43.15">
      <c r="A48" s="54" t="s">
        <v>49</v>
      </c>
      <c r="B48" s="54" t="s">
        <v>95</v>
      </c>
    </row>
    <row r="49" spans="1:2" ht="28.9">
      <c r="A49" s="54" t="s">
        <v>50</v>
      </c>
      <c r="B49" s="54" t="s">
        <v>96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652b877-6492-4932-b8d5-02c3bbf747e8" xsi:nil="true"/>
    <lcf76f155ced4ddcb4097134ff3c332f xmlns="b080d6c7-46d5-49f7-9fa4-489bff70596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6333E51E367443B4BBDD69418C2500" ma:contentTypeVersion="17" ma:contentTypeDescription="Create a new document." ma:contentTypeScope="" ma:versionID="f80c1e21c6c966b7bc9de40916d63d34">
  <xsd:schema xmlns:xsd="http://www.w3.org/2001/XMLSchema" xmlns:xs="http://www.w3.org/2001/XMLSchema" xmlns:p="http://schemas.microsoft.com/office/2006/metadata/properties" xmlns:ns2="b080d6c7-46d5-49f7-9fa4-489bff70596b" xmlns:ns3="7652b877-6492-4932-b8d5-02c3bbf747e8" targetNamespace="http://schemas.microsoft.com/office/2006/metadata/properties" ma:root="true" ma:fieldsID="efcc4cb93f13f4d87eb1115fdb6e9806" ns2:_="" ns3:_="">
    <xsd:import namespace="b080d6c7-46d5-49f7-9fa4-489bff70596b"/>
    <xsd:import namespace="7652b877-6492-4932-b8d5-02c3bbf747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80d6c7-46d5-49f7-9fa4-489bff7059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52b877-6492-4932-b8d5-02c3bbf747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7f140-3f4d-463e-b26b-c35450fd70c9}" ma:internalName="TaxCatchAll" ma:showField="CatchAllData" ma:web="7652b877-6492-4932-b8d5-02c3bbf747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1D4226-308E-4A9A-8CF3-A5B2E39C071F}"/>
</file>

<file path=customXml/itemProps2.xml><?xml version="1.0" encoding="utf-8"?>
<ds:datastoreItem xmlns:ds="http://schemas.openxmlformats.org/officeDocument/2006/customXml" ds:itemID="{2324366C-BE5D-44D5-A462-0761ABD35A58}"/>
</file>

<file path=customXml/itemProps3.xml><?xml version="1.0" encoding="utf-8"?>
<ds:datastoreItem xmlns:ds="http://schemas.openxmlformats.org/officeDocument/2006/customXml" ds:itemID="{BE9D998F-02B5-4EC3-91B8-E42F29E8D6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Terry Barnard</dc:creator>
  <cp:keywords/>
  <dc:description/>
  <cp:lastModifiedBy/>
  <cp:revision/>
  <dcterms:created xsi:type="dcterms:W3CDTF">2018-05-10T17:40:17Z</dcterms:created>
  <dcterms:modified xsi:type="dcterms:W3CDTF">2025-06-20T19:41:18Z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0x010100EC6333E51E367443B4BBDD69418C2500</vt:lpwstr>
  </property>
  <property fmtid="{D5CDD505-2E9C-101B-9397-08002B2CF9AE}" pid="3" name="MediaServiceImageTags">
    <vt:lpwstr/>
  </property>
</Properties>
</file>